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От Артема\Хадыженск ВЛ 6 кВ\"/>
    </mc:Choice>
  </mc:AlternateContent>
  <bookViews>
    <workbookView xWindow="-120" yWindow="-120" windowWidth="20730" windowHeight="11160" tabRatio="756"/>
  </bookViews>
  <sheets>
    <sheet name="ССР объединенная база и текущ" sheetId="1" r:id="rId1"/>
    <sheet name="Вед.расч.тек.стоим." sheetId="2" r:id="rId2"/>
  </sheets>
  <definedNames>
    <definedName name="_xlnm.Print_Titles" localSheetId="1">Вед.расч.тек.стоим.!$7:$9</definedName>
    <definedName name="_xlnm.Print_Titles" localSheetId="0">'ССР объединенная база и текущ'!$16:$18</definedName>
  </definedNames>
  <calcPr calcId="162913"/>
</workbook>
</file>

<file path=xl/calcChain.xml><?xml version="1.0" encoding="utf-8"?>
<calcChain xmlns="http://schemas.openxmlformats.org/spreadsheetml/2006/main">
  <c r="O12" i="2" l="1"/>
  <c r="F12" i="2"/>
  <c r="E12" i="2"/>
  <c r="G25" i="2" l="1"/>
  <c r="N12" i="2"/>
  <c r="D12" i="2"/>
  <c r="M34" i="2" l="1"/>
  <c r="M33" i="2"/>
  <c r="M32" i="2"/>
  <c r="C23" i="2"/>
  <c r="P12" i="2" l="1"/>
  <c r="A5" i="2"/>
  <c r="G12" i="2" l="1"/>
  <c r="G16" i="2" s="1"/>
  <c r="F16" i="2"/>
  <c r="E16" i="2"/>
  <c r="D16" i="2"/>
  <c r="Q12" i="2" l="1"/>
  <c r="Q16" i="2" s="1"/>
  <c r="P16" i="2"/>
  <c r="O16" i="2" l="1"/>
  <c r="N16" i="2"/>
  <c r="G58" i="1"/>
  <c r="G57" i="1"/>
  <c r="G25" i="1"/>
  <c r="F25" i="1"/>
  <c r="E25" i="1"/>
  <c r="D25" i="1"/>
  <c r="C25" i="1"/>
  <c r="G24" i="1"/>
  <c r="F24" i="1"/>
  <c r="E24" i="1"/>
  <c r="D24" i="1"/>
  <c r="C24" i="1"/>
  <c r="G23" i="1"/>
  <c r="F23" i="1"/>
  <c r="E23" i="1"/>
  <c r="D23" i="1"/>
  <c r="C23" i="1"/>
  <c r="C34" i="1"/>
  <c r="B34" i="1"/>
  <c r="G34" i="1"/>
  <c r="H12" i="2" l="1"/>
  <c r="H16" i="2" s="1"/>
  <c r="H23" i="1"/>
  <c r="H24" i="1"/>
  <c r="H25" i="1"/>
  <c r="H58" i="1"/>
  <c r="G33" i="2"/>
  <c r="G43" i="1" s="1"/>
  <c r="H43" i="1" s="1"/>
  <c r="G32" i="2"/>
  <c r="R33" i="2" l="1"/>
  <c r="H33" i="2"/>
  <c r="G22" i="1" l="1"/>
  <c r="G26" i="1" s="1"/>
  <c r="F22" i="1"/>
  <c r="F26" i="1" s="1"/>
  <c r="E22" i="1"/>
  <c r="E26" i="1" s="1"/>
  <c r="D22" i="1"/>
  <c r="D26" i="1" s="1"/>
  <c r="C22" i="1"/>
  <c r="B22" i="1"/>
  <c r="G27" i="1" l="1"/>
  <c r="G31" i="1" s="1"/>
  <c r="H22" i="1"/>
  <c r="H26" i="1" s="1"/>
  <c r="G35" i="1"/>
  <c r="Q17" i="2"/>
  <c r="Q21" i="2" s="1"/>
  <c r="G17" i="2"/>
  <c r="G21" i="2" s="1"/>
  <c r="P25" i="2"/>
  <c r="F25" i="2"/>
  <c r="E17" i="2"/>
  <c r="E19" i="2" s="1"/>
  <c r="C11" i="2"/>
  <c r="C10" i="2"/>
  <c r="F17" i="2" l="1"/>
  <c r="G42" i="1"/>
  <c r="P17" i="2" l="1"/>
  <c r="P21" i="2" s="1"/>
  <c r="P26" i="2" s="1"/>
  <c r="G26" i="2"/>
  <c r="Q24" i="2"/>
  <c r="Q25" i="2" s="1"/>
  <c r="G55" i="1" s="1"/>
  <c r="F27" i="1"/>
  <c r="F31" i="1" s="1"/>
  <c r="F36" i="1" s="1"/>
  <c r="F40" i="1" s="1"/>
  <c r="F46" i="1" s="1"/>
  <c r="E27" i="1"/>
  <c r="F21" i="2"/>
  <c r="F26" i="2" s="1"/>
  <c r="F30" i="2" s="1"/>
  <c r="F36" i="2" s="1"/>
  <c r="H32" i="2"/>
  <c r="H24" i="2"/>
  <c r="H42" i="1"/>
  <c r="G36" i="1"/>
  <c r="H34" i="1"/>
  <c r="Q26" i="2" l="1"/>
  <c r="O17" i="2"/>
  <c r="R24" i="2"/>
  <c r="E29" i="1"/>
  <c r="F47" i="1"/>
  <c r="F48" i="1" s="1"/>
  <c r="F37" i="2"/>
  <c r="F38" i="2" s="1"/>
  <c r="H55" i="1" l="1"/>
  <c r="E21" i="2"/>
  <c r="E23" i="2" s="1"/>
  <c r="P30" i="2"/>
  <c r="P36" i="2" s="1"/>
  <c r="E31" i="1"/>
  <c r="E33" i="1" s="1"/>
  <c r="E25" i="2" l="1"/>
  <c r="E26" i="2" s="1"/>
  <c r="E30" i="2" s="1"/>
  <c r="E36" i="2" s="1"/>
  <c r="E37" i="2" s="1"/>
  <c r="E38" i="2" s="1"/>
  <c r="E35" i="1"/>
  <c r="E36" i="1" s="1"/>
  <c r="E40" i="1" s="1"/>
  <c r="E46" i="1" s="1"/>
  <c r="E47" i="1" s="1"/>
  <c r="E48" i="1" s="1"/>
  <c r="P37" i="2"/>
  <c r="P38" i="2" s="1"/>
  <c r="F51" i="1" l="1"/>
  <c r="F60" i="1" s="1"/>
  <c r="F54" i="1" l="1"/>
  <c r="H54" i="1" s="1"/>
  <c r="F61" i="1"/>
  <c r="R32" i="2" l="1"/>
  <c r="H57" i="1" l="1"/>
  <c r="H62" i="1"/>
  <c r="F7" i="1" s="1"/>
  <c r="D17" i="2"/>
  <c r="H17" i="2" l="1"/>
  <c r="D19" i="2"/>
  <c r="R12" i="2"/>
  <c r="R16" i="2" s="1"/>
  <c r="D27" i="1"/>
  <c r="H27" i="1" s="1"/>
  <c r="J12" i="2" l="1"/>
  <c r="N17" i="2"/>
  <c r="D29" i="1"/>
  <c r="H29" i="1" s="1"/>
  <c r="H30" i="1" s="1"/>
  <c r="H49" i="1" s="1"/>
  <c r="F5" i="1" s="1"/>
  <c r="H19" i="2"/>
  <c r="H20" i="2" s="1"/>
  <c r="D21" i="2"/>
  <c r="D31" i="1" l="1"/>
  <c r="J17" i="2"/>
  <c r="R17" i="2"/>
  <c r="D23" i="2"/>
  <c r="H21" i="2"/>
  <c r="H31" i="1" l="1"/>
  <c r="D33" i="1"/>
  <c r="J19" i="2"/>
  <c r="O19" i="2" s="1"/>
  <c r="O21" i="2" s="1"/>
  <c r="J23" i="2"/>
  <c r="O23" i="2" s="1"/>
  <c r="O25" i="2" s="1"/>
  <c r="H33" i="1"/>
  <c r="H23" i="2"/>
  <c r="H25" i="2" s="1"/>
  <c r="D25" i="2"/>
  <c r="D26" i="2" s="1"/>
  <c r="O26" i="2" l="1"/>
  <c r="O30" i="2" s="1"/>
  <c r="O36" i="2" s="1"/>
  <c r="O37" i="2" s="1"/>
  <c r="O38" i="2" s="1"/>
  <c r="N23" i="2"/>
  <c r="D35" i="1"/>
  <c r="H35" i="1" s="1"/>
  <c r="H26" i="2"/>
  <c r="D30" i="2"/>
  <c r="E51" i="1" l="1"/>
  <c r="E53" i="1"/>
  <c r="D36" i="1"/>
  <c r="H36" i="1" s="1"/>
  <c r="G44" i="1" s="1"/>
  <c r="G45" i="1" s="1"/>
  <c r="D36" i="2"/>
  <c r="G34" i="2"/>
  <c r="Q34" i="2" s="1"/>
  <c r="G59" i="1" s="1"/>
  <c r="D40" i="1" l="1"/>
  <c r="D46" i="1" s="1"/>
  <c r="D47" i="1" s="1"/>
  <c r="E60" i="1"/>
  <c r="E61" i="1" s="1"/>
  <c r="E52" i="1"/>
  <c r="H34" i="2"/>
  <c r="H35" i="2" s="1"/>
  <c r="G28" i="2" s="1"/>
  <c r="G35" i="2"/>
  <c r="D37" i="2"/>
  <c r="D38" i="2" s="1"/>
  <c r="H44" i="1"/>
  <c r="H45" i="1" l="1"/>
  <c r="G38" i="1" s="1"/>
  <c r="D48" i="1"/>
  <c r="Q35" i="2"/>
  <c r="R34" i="2"/>
  <c r="R35" i="2" s="1"/>
  <c r="H59" i="1"/>
  <c r="Q28" i="2"/>
  <c r="H28" i="2"/>
  <c r="H29" i="2" s="1"/>
  <c r="G29" i="2"/>
  <c r="G30" i="2" s="1"/>
  <c r="H38" i="1" l="1"/>
  <c r="H39" i="1" s="1"/>
  <c r="G39" i="1"/>
  <c r="G40" i="1" s="1"/>
  <c r="G46" i="1" s="1"/>
  <c r="G36" i="2"/>
  <c r="H30" i="2"/>
  <c r="Q29" i="2"/>
  <c r="Q30" i="2" s="1"/>
  <c r="R28" i="2"/>
  <c r="R29" i="2" s="1"/>
  <c r="H40" i="1" l="1"/>
  <c r="Q36" i="2"/>
  <c r="G37" i="2"/>
  <c r="H37" i="2" s="1"/>
  <c r="H36" i="2"/>
  <c r="G47" i="1"/>
  <c r="H47" i="1" s="1"/>
  <c r="H46" i="1"/>
  <c r="G38" i="2" l="1"/>
  <c r="H38" i="2" s="1"/>
  <c r="G48" i="1"/>
  <c r="H48" i="1" s="1"/>
  <c r="F4" i="1" s="1"/>
  <c r="Q37" i="2"/>
  <c r="Q38" i="2" l="1"/>
  <c r="G51" i="1" l="1"/>
  <c r="G56" i="1" s="1"/>
  <c r="H56" i="1" s="1"/>
  <c r="G60" i="1" l="1"/>
  <c r="G61" i="1" l="1"/>
  <c r="N19" i="2"/>
  <c r="R19" i="2" s="1"/>
  <c r="R20" i="2" s="1"/>
  <c r="N21" i="2" l="1"/>
  <c r="R21" i="2" s="1"/>
  <c r="N25" i="2"/>
  <c r="R23" i="2"/>
  <c r="N26" i="2" l="1"/>
  <c r="N30" i="2" s="1"/>
  <c r="R25" i="2"/>
  <c r="R26" i="2" l="1"/>
  <c r="N36" i="2"/>
  <c r="R30" i="2"/>
  <c r="N37" i="2" l="1"/>
  <c r="R37" i="2" s="1"/>
  <c r="R36" i="2"/>
  <c r="N38" i="2" l="1"/>
  <c r="J38" i="2" s="1"/>
  <c r="D51" i="1" l="1"/>
  <c r="D52" i="1" s="1"/>
  <c r="H52" i="1" s="1"/>
  <c r="R38" i="2"/>
  <c r="H51" i="1" s="1"/>
  <c r="F6" i="1" s="1"/>
  <c r="D53" i="1"/>
  <c r="D60" i="1" l="1"/>
  <c r="H60" i="1" s="1"/>
  <c r="D61" i="1" l="1"/>
  <c r="H61" i="1" s="1"/>
</calcChain>
</file>

<file path=xl/sharedStrings.xml><?xml version="1.0" encoding="utf-8"?>
<sst xmlns="http://schemas.openxmlformats.org/spreadsheetml/2006/main" count="143" uniqueCount="106">
  <si>
    <t>№№п.п.</t>
  </si>
  <si>
    <t>Номера сметных расчетов и смет</t>
  </si>
  <si>
    <t>Наименование глав, объектов, работ и затрат</t>
  </si>
  <si>
    <t>Сметная стоимость, тыс.руб.</t>
  </si>
  <si>
    <t>строительных работ</t>
  </si>
  <si>
    <t>монтажных работ</t>
  </si>
  <si>
    <t>оборудования мебели и инвентаря</t>
  </si>
  <si>
    <t>прочих затрат</t>
  </si>
  <si>
    <t>Общая сметная стоимость</t>
  </si>
  <si>
    <t>"Утвержден"  "________"  _____________________ 20 ____г.</t>
  </si>
  <si>
    <t>Сводный сметный расчет в базисном уровне цен по состоянию на 01.01.2000г. в сумме</t>
  </si>
  <si>
    <t>В том числе возвратных сумм</t>
  </si>
  <si>
    <t>тыс.руб</t>
  </si>
  <si>
    <t>(ссылка на документ об утверждении)</t>
  </si>
  <si>
    <t>СВОДНЫЙ СМЕТНЫЙ РАСЧЕТ СТОИМОСТИ СТРОИТЕЛЬСТВА</t>
  </si>
  <si>
    <t>Итого по главе 5</t>
  </si>
  <si>
    <t>Итго по главам 1 - 7</t>
  </si>
  <si>
    <t>Глава 8. Временные здания и сооружения</t>
  </si>
  <si>
    <t>Итог по главам 1 - 8</t>
  </si>
  <si>
    <t>Глава 9. Прочие работы и затраты</t>
  </si>
  <si>
    <t>Итого по главе 9</t>
  </si>
  <si>
    <t>Итого по главам 1 - 9</t>
  </si>
  <si>
    <t>Глава 10. Содержание службы заказчика</t>
  </si>
  <si>
    <t>Итого по главе 10</t>
  </si>
  <si>
    <t>Итго по главам 1 - 10</t>
  </si>
  <si>
    <t>Глава 12. Проектные и изыскательские работы</t>
  </si>
  <si>
    <t>Смета ПИР</t>
  </si>
  <si>
    <r>
      <t>Авторский надзор - 0,2%</t>
    </r>
    <r>
      <rPr>
        <sz val="8"/>
        <color indexed="8"/>
        <rFont val="Times New Roman"/>
        <family val="1"/>
        <charset val="204"/>
      </rPr>
      <t xml:space="preserve"> (от итога глав 1-9)</t>
    </r>
  </si>
  <si>
    <t>ОПДС-2821.2011 прил.3 п.96</t>
  </si>
  <si>
    <t>Итого по главе 12</t>
  </si>
  <si>
    <t>Итго по главам 1 - 12</t>
  </si>
  <si>
    <t>Резерв средств на непредвиденные работы и затраты - 3%</t>
  </si>
  <si>
    <t>ОПДС-2821.2011                       п. 3.10.7</t>
  </si>
  <si>
    <t>Индексы изменения сметной стоимости</t>
  </si>
  <si>
    <t>Индекс изменения сметной стоимости строительно-монтажных работ</t>
  </si>
  <si>
    <t>Индекс изменения сметной стоимости оборудования</t>
  </si>
  <si>
    <t>Индекс изменения сметной стоимости пусконаладочных работ</t>
  </si>
  <si>
    <t>Индекс изменения сметной стоимости прочих работ и затрат  (гр.7 гл.1,9,10)</t>
  </si>
  <si>
    <t>В том числе возвратные суммы (справочно)</t>
  </si>
  <si>
    <t>Всего</t>
  </si>
  <si>
    <t>Авторский надзор - 0,2% (от итога глав 1-9)</t>
  </si>
  <si>
    <t>Сметная стоимость в базисных ценах по состоянию на 01.01.2000г, тыс.руб.</t>
  </si>
  <si>
    <t>пункт расп.</t>
  </si>
  <si>
    <t>СМР</t>
  </si>
  <si>
    <t>ПНР</t>
  </si>
  <si>
    <t>оборудо-вания мебели и инвен-таря</t>
  </si>
  <si>
    <t>монтаж-ных  работ</t>
  </si>
  <si>
    <t>строи-тельных работ</t>
  </si>
  <si>
    <t>обору-дования</t>
  </si>
  <si>
    <t>прочие затраты</t>
  </si>
  <si>
    <t>№№ п.п.</t>
  </si>
  <si>
    <r>
      <rPr>
        <b/>
        <sz val="10"/>
        <color indexed="8"/>
        <rFont val="Times New Roman"/>
        <family val="1"/>
        <charset val="204"/>
      </rPr>
      <t>Всего</t>
    </r>
    <r>
      <rPr>
        <sz val="10"/>
        <color indexed="8"/>
        <rFont val="Times New Roman"/>
        <family val="1"/>
        <charset val="204"/>
      </rPr>
      <t xml:space="preserve"> по сводному сметному расчету </t>
    </r>
  </si>
  <si>
    <t>Ведомость расчета текущей стоимости строительства</t>
  </si>
  <si>
    <t>Главный инженер проекта</t>
  </si>
  <si>
    <t>ОПДС-2821.2011              прил.3 п.96</t>
  </si>
  <si>
    <t>Временные здания и сооружения -3,7%х0,8=2,96%</t>
  </si>
  <si>
    <t>В том числе возвратных сумм - 15%</t>
  </si>
  <si>
    <t>разд.6.</t>
  </si>
  <si>
    <r>
      <rPr>
        <b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по сводному сметному расчету </t>
    </r>
    <r>
      <rPr>
        <b/>
        <sz val="11"/>
        <color indexed="8"/>
        <rFont val="Times New Roman"/>
        <family val="1"/>
        <charset val="204"/>
      </rPr>
      <t>в базисных ценах по состоянию на 01.01.2000г.</t>
    </r>
  </si>
  <si>
    <t>Руководитель проектной организации</t>
  </si>
  <si>
    <t>Раздел 2. Объекты связи</t>
  </si>
  <si>
    <t xml:space="preserve">ГСН81-05-01-2001   п.2.1 к=0,8;    Прил.1  п.3.4 </t>
  </si>
  <si>
    <t>Авторский надзор - 0,2%</t>
  </si>
  <si>
    <t>Глава 4. Объекты энергетического хозяйства</t>
  </si>
  <si>
    <t>Раздел 1. Объекты электроэнергетики</t>
  </si>
  <si>
    <t>Содержание службы заказчика и проведение экспертизы ПСД - 2,2%</t>
  </si>
  <si>
    <t>`</t>
  </si>
  <si>
    <t>(в т.ч. линиии электропредач 0,4 кВ)</t>
  </si>
  <si>
    <t>Затраты связанные с уплатой налога на добавленную стоимость - 20%</t>
  </si>
  <si>
    <t>Индекс изменения сметной стоимости проектных работ (изыскательские работы)</t>
  </si>
  <si>
    <t>Индекс изменения сметной стоимости проектных работ (проектные работы)</t>
  </si>
  <si>
    <t>Расч.</t>
  </si>
  <si>
    <t>Итого по главе 4</t>
  </si>
  <si>
    <t>Изыскательские Работы (Рабочая документация)</t>
  </si>
  <si>
    <t>Проектные Работы (Рабочая документация)</t>
  </si>
  <si>
    <t>К=7,56</t>
  </si>
  <si>
    <t xml:space="preserve">Форма №3 </t>
  </si>
  <si>
    <t xml:space="preserve"> "Проектирование строительства ВЛ-6кВ №Ха-22/1, расположенной по адресу: Краснодарский край, Апшеронский район, г. Хадыженск."</t>
  </si>
  <si>
    <t>Индексы изменения сметной стоимости на IV кв.2020г.             Письмо МИНСТРОЙ РОССИИ от 04.12.2020 г. №49587-ИФ/09</t>
  </si>
  <si>
    <t>00-04-1-00-01</t>
  </si>
  <si>
    <t>ВЛ-6 кВ Транснефть</t>
  </si>
  <si>
    <t>ЛС №00-09-0-00-01</t>
  </si>
  <si>
    <t>ВЛ-6 кВ Транснефть. Пусконаладочные работы</t>
  </si>
  <si>
    <t>Иот</t>
  </si>
  <si>
    <t>Имат.</t>
  </si>
  <si>
    <t>Иэм</t>
  </si>
  <si>
    <t>19,82/        20,37</t>
  </si>
  <si>
    <t>4,1/ 3,15</t>
  </si>
  <si>
    <t>ГСН81-05-01-2001                        п.2.1 к=0,8;                      Прил.1  п.2.5</t>
  </si>
  <si>
    <t>Временные здания и сооружения -3,3%х1=3,3%</t>
  </si>
  <si>
    <t>ГСН81-05-02-2007                       табл.4    п. 2.6</t>
  </si>
  <si>
    <t>Дополнительные затраты при производстве работ в зимнее время - 0,4% х 1 = 0,4%</t>
  </si>
  <si>
    <t>ГСН81-05-02-2007        табл.4    п. 2.6</t>
  </si>
  <si>
    <t xml:space="preserve">Изыскательские Работы </t>
  </si>
  <si>
    <t xml:space="preserve">Проектные Работы </t>
  </si>
  <si>
    <t xml:space="preserve">Составлен в базисном уровне цен по состоянию на 01.01.2000г. с пересчетом в текущий уровень цен по состоянию на IV квартал 2020г. </t>
  </si>
  <si>
    <t>К=5,27</t>
  </si>
  <si>
    <t>К=18,14</t>
  </si>
  <si>
    <t>К=4,55</t>
  </si>
  <si>
    <t>К=4,47</t>
  </si>
  <si>
    <r>
      <rPr>
        <b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по сводному сметному расчету </t>
    </r>
    <r>
      <rPr>
        <b/>
        <sz val="11"/>
        <color indexed="8"/>
        <rFont val="Times New Roman"/>
        <family val="1"/>
        <charset val="204"/>
      </rPr>
      <t>в текущих ценах по состоянию на IV кв.2020г. с НДС</t>
    </r>
  </si>
  <si>
    <t>Сводный сметный расчет в текущем уровне цен по состоянию на IV кв. 2020г. в сумме</t>
  </si>
  <si>
    <t xml:space="preserve">Заказчик   </t>
  </si>
  <si>
    <t>К=6,52 (Расч.)</t>
  </si>
  <si>
    <r>
      <rPr>
        <b/>
        <sz val="11"/>
        <color indexed="8"/>
        <rFont val="Times New Roman"/>
        <family val="1"/>
        <charset val="204"/>
      </rPr>
      <t>Всего</t>
    </r>
    <r>
      <rPr>
        <sz val="11"/>
        <color indexed="8"/>
        <rFont val="Times New Roman"/>
        <family val="1"/>
        <charset val="204"/>
      </rPr>
      <t xml:space="preserve"> по сводному сметному расчету </t>
    </r>
    <r>
      <rPr>
        <b/>
        <sz val="11"/>
        <color indexed="8"/>
        <rFont val="Times New Roman"/>
        <family val="1"/>
        <charset val="204"/>
      </rPr>
      <t>в текущих ценах по состоянию на IV кв.2020г.</t>
    </r>
  </si>
  <si>
    <t>Сметная стоимость в текущих ценах по состоянию           на IV кв..2020г,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</si>
</sst>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/>
    <xf numFmtId="0" fontId="12" fillId="0" borderId="0" xfId="0" applyFont="1"/>
    <xf numFmtId="0" fontId="14" fillId="0" borderId="0" xfId="0" applyFont="1" applyAlignment="1">
      <alignment horizontal="center" vertical="center"/>
    </xf>
    <xf numFmtId="0" fontId="13" fillId="0" borderId="2" xfId="0" applyFont="1" applyBorder="1"/>
    <xf numFmtId="0" fontId="13" fillId="0" borderId="3" xfId="0" applyFont="1" applyBorder="1"/>
    <xf numFmtId="0" fontId="12" fillId="0" borderId="2" xfId="0" applyFont="1" applyBorder="1" applyAlignment="1">
      <alignment horizontal="left" vertical="center" wrapText="1"/>
    </xf>
    <xf numFmtId="0" fontId="12" fillId="0" borderId="5" xfId="0" applyFont="1" applyBorder="1"/>
    <xf numFmtId="0" fontId="13" fillId="0" borderId="5" xfId="0" applyFont="1" applyBorder="1"/>
    <xf numFmtId="0" fontId="13" fillId="0" borderId="4" xfId="0" applyFont="1" applyBorder="1"/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/>
    </xf>
    <xf numFmtId="0" fontId="16" fillId="0" borderId="4" xfId="0" applyFont="1" applyBorder="1"/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0" xfId="0" applyFont="1"/>
    <xf numFmtId="0" fontId="18" fillId="0" borderId="5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2" fontId="13" fillId="0" borderId="0" xfId="0" applyNumberFormat="1" applyFont="1"/>
    <xf numFmtId="0" fontId="6" fillId="0" borderId="4" xfId="0" applyFont="1" applyBorder="1" applyAlignment="1">
      <alignment horizontal="center" vertical="center" wrapText="1"/>
    </xf>
    <xf numFmtId="14" fontId="6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right" wrapText="1"/>
    </xf>
    <xf numFmtId="0" fontId="16" fillId="0" borderId="4" xfId="0" applyFont="1" applyBorder="1" applyAlignment="1">
      <alignment horizontal="left" vertical="center" wrapText="1"/>
    </xf>
    <xf numFmtId="2" fontId="13" fillId="0" borderId="2" xfId="0" applyNumberFormat="1" applyFont="1" applyBorder="1" applyAlignment="1">
      <alignment horizontal="center" vertical="center"/>
    </xf>
    <xf numFmtId="2" fontId="19" fillId="0" borderId="0" xfId="0" applyNumberFormat="1" applyFont="1"/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vertical="center"/>
    </xf>
    <xf numFmtId="0" fontId="12" fillId="0" borderId="9" xfId="0" applyFont="1" applyBorder="1" applyAlignment="1">
      <alignment horizontal="left" vertical="center"/>
    </xf>
    <xf numFmtId="0" fontId="12" fillId="0" borderId="9" xfId="0" applyFont="1" applyBorder="1"/>
    <xf numFmtId="0" fontId="0" fillId="0" borderId="10" xfId="0" applyBorder="1"/>
    <xf numFmtId="0" fontId="0" fillId="0" borderId="11" xfId="0" applyBorder="1"/>
    <xf numFmtId="0" fontId="12" fillId="0" borderId="12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12" fillId="0" borderId="1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5" xfId="0" applyFont="1" applyBorder="1"/>
    <xf numFmtId="0" fontId="6" fillId="0" borderId="4" xfId="0" applyFont="1" applyBorder="1"/>
    <xf numFmtId="0" fontId="6" fillId="0" borderId="9" xfId="0" applyFont="1" applyBorder="1"/>
    <xf numFmtId="0" fontId="6" fillId="0" borderId="14" xfId="0" applyFont="1" applyBorder="1"/>
    <xf numFmtId="4" fontId="6" fillId="0" borderId="5" xfId="0" applyNumberFormat="1" applyFont="1" applyBorder="1" applyAlignment="1">
      <alignment horizontal="center" vertical="center"/>
    </xf>
    <xf numFmtId="4" fontId="6" fillId="0" borderId="9" xfId="0" applyNumberFormat="1" applyFont="1" applyBorder="1" applyAlignment="1">
      <alignment horizontal="center" vertical="center"/>
    </xf>
    <xf numFmtId="4" fontId="6" fillId="0" borderId="14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" fontId="6" fillId="0" borderId="14" xfId="0" applyNumberFormat="1" applyFont="1" applyBorder="1"/>
    <xf numFmtId="4" fontId="6" fillId="0" borderId="4" xfId="0" applyNumberFormat="1" applyFont="1" applyBorder="1"/>
    <xf numFmtId="4" fontId="10" fillId="0" borderId="5" xfId="0" applyNumberFormat="1" applyFont="1" applyBorder="1" applyAlignment="1">
      <alignment horizontal="center" vertical="center"/>
    </xf>
    <xf numFmtId="4" fontId="10" fillId="0" borderId="9" xfId="0" applyNumberFormat="1" applyFont="1" applyBorder="1" applyAlignment="1">
      <alignment horizontal="center" vertical="center"/>
    </xf>
    <xf numFmtId="4" fontId="10" fillId="0" borderId="14" xfId="0" applyNumberFormat="1" applyFont="1" applyBorder="1" applyAlignment="1">
      <alignment horizontal="center" vertical="center"/>
    </xf>
    <xf numFmtId="4" fontId="10" fillId="0" borderId="4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4" fontId="10" fillId="0" borderId="9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6" fillId="0" borderId="5" xfId="0" applyNumberFormat="1" applyFont="1" applyBorder="1"/>
    <xf numFmtId="4" fontId="6" fillId="0" borderId="9" xfId="0" applyNumberFormat="1" applyFont="1" applyBorder="1"/>
    <xf numFmtId="4" fontId="6" fillId="0" borderId="19" xfId="0" applyNumberFormat="1" applyFont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9" xfId="0" applyNumberFormat="1" applyFont="1" applyFill="1" applyBorder="1" applyAlignment="1">
      <alignment horizontal="center" vertical="center"/>
    </xf>
    <xf numFmtId="4" fontId="6" fillId="0" borderId="20" xfId="0" applyNumberFormat="1" applyFont="1" applyBorder="1"/>
    <xf numFmtId="4" fontId="6" fillId="0" borderId="11" xfId="0" applyNumberFormat="1" applyFont="1" applyBorder="1"/>
    <xf numFmtId="4" fontId="6" fillId="0" borderId="12" xfId="0" applyNumberFormat="1" applyFont="1" applyBorder="1"/>
    <xf numFmtId="4" fontId="6" fillId="0" borderId="15" xfId="0" applyNumberFormat="1" applyFont="1" applyBorder="1"/>
    <xf numFmtId="4" fontId="6" fillId="0" borderId="16" xfId="0" applyNumberFormat="1" applyFont="1" applyBorder="1"/>
    <xf numFmtId="4" fontId="6" fillId="0" borderId="17" xfId="0" applyNumberFormat="1" applyFont="1" applyBorder="1"/>
    <xf numFmtId="4" fontId="6" fillId="0" borderId="10" xfId="0" applyNumberFormat="1" applyFont="1" applyBorder="1"/>
    <xf numFmtId="4" fontId="7" fillId="0" borderId="4" xfId="0" applyNumberFormat="1" applyFont="1" applyBorder="1" applyAlignment="1">
      <alignment horizontal="center" vertical="center" wrapText="1"/>
    </xf>
    <xf numFmtId="4" fontId="19" fillId="0" borderId="5" xfId="0" applyNumberFormat="1" applyFont="1" applyBorder="1" applyAlignment="1">
      <alignment horizontal="center" vertical="center"/>
    </xf>
    <xf numFmtId="4" fontId="19" fillId="0" borderId="4" xfId="0" applyNumberFormat="1" applyFont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 wrapText="1"/>
    </xf>
    <xf numFmtId="4" fontId="13" fillId="0" borderId="5" xfId="0" applyNumberFormat="1" applyFont="1" applyBorder="1"/>
    <xf numFmtId="4" fontId="13" fillId="0" borderId="4" xfId="0" applyNumberFormat="1" applyFont="1" applyBorder="1"/>
    <xf numFmtId="4" fontId="13" fillId="0" borderId="4" xfId="0" applyNumberFormat="1" applyFont="1" applyBorder="1" applyAlignment="1">
      <alignment horizontal="center" vertical="center"/>
    </xf>
    <xf numFmtId="4" fontId="16" fillId="0" borderId="5" xfId="0" applyNumberFormat="1" applyFont="1" applyBorder="1"/>
    <xf numFmtId="4" fontId="16" fillId="0" borderId="4" xfId="0" applyNumberFormat="1" applyFont="1" applyBorder="1"/>
    <xf numFmtId="4" fontId="16" fillId="0" borderId="4" xfId="0" applyNumberFormat="1" applyFont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vertical="center" wrapText="1"/>
    </xf>
    <xf numFmtId="0" fontId="23" fillId="0" borderId="0" xfId="0" applyFont="1"/>
    <xf numFmtId="0" fontId="24" fillId="0" borderId="8" xfId="0" applyFont="1" applyBorder="1" applyAlignment="1">
      <alignment horizontal="center" vertical="center" wrapText="1"/>
    </xf>
    <xf numFmtId="14" fontId="24" fillId="0" borderId="5" xfId="0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vertical="center" wrapText="1"/>
    </xf>
    <xf numFmtId="4" fontId="24" fillId="0" borderId="4" xfId="0" applyNumberFormat="1" applyFont="1" applyBorder="1" applyAlignment="1">
      <alignment horizontal="center" vertical="center" wrapText="1"/>
    </xf>
    <xf numFmtId="4" fontId="24" fillId="0" borderId="9" xfId="0" applyNumberFormat="1" applyFont="1" applyBorder="1" applyAlignment="1">
      <alignment horizontal="center" vertical="center" wrapText="1"/>
    </xf>
    <xf numFmtId="4" fontId="24" fillId="0" borderId="14" xfId="0" applyNumberFormat="1" applyFont="1" applyBorder="1" applyAlignment="1">
      <alignment horizontal="center" vertical="center"/>
    </xf>
    <xf numFmtId="4" fontId="24" fillId="0" borderId="4" xfId="0" applyNumberFormat="1" applyFont="1" applyBorder="1" applyAlignment="1">
      <alignment horizontal="center" vertical="center"/>
    </xf>
    <xf numFmtId="4" fontId="24" fillId="0" borderId="5" xfId="0" applyNumberFormat="1" applyFont="1" applyBorder="1" applyAlignment="1">
      <alignment horizontal="center" vertical="center"/>
    </xf>
    <xf numFmtId="4" fontId="25" fillId="0" borderId="4" xfId="0" applyNumberFormat="1" applyFont="1" applyBorder="1" applyAlignment="1">
      <alignment horizontal="center" vertical="center"/>
    </xf>
    <xf numFmtId="4" fontId="25" fillId="0" borderId="9" xfId="0" applyNumberFormat="1" applyFont="1" applyBorder="1" applyAlignment="1">
      <alignment horizontal="center" vertical="center"/>
    </xf>
    <xf numFmtId="0" fontId="26" fillId="0" borderId="0" xfId="0" applyFont="1"/>
    <xf numFmtId="1" fontId="24" fillId="0" borderId="8" xfId="0" applyNumberFormat="1" applyFont="1" applyBorder="1" applyAlignment="1">
      <alignment horizontal="center" vertical="center" wrapText="1"/>
    </xf>
    <xf numFmtId="4" fontId="24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left" vertical="center" wrapText="1"/>
    </xf>
    <xf numFmtId="4" fontId="27" fillId="0" borderId="5" xfId="0" applyNumberFormat="1" applyFont="1" applyBorder="1" applyAlignment="1">
      <alignment horizontal="center" vertical="center" wrapText="1"/>
    </xf>
    <xf numFmtId="4" fontId="27" fillId="0" borderId="4" xfId="0" applyNumberFormat="1" applyFont="1" applyBorder="1" applyAlignment="1">
      <alignment horizontal="center" vertical="center" wrapText="1"/>
    </xf>
    <xf numFmtId="49" fontId="24" fillId="0" borderId="4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12" fillId="0" borderId="3" xfId="0" applyFont="1" applyBorder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0" xfId="0" applyFont="1"/>
    <xf numFmtId="0" fontId="0" fillId="0" borderId="13" xfId="0" applyBorder="1" applyAlignment="1">
      <alignment horizontal="center"/>
    </xf>
    <xf numFmtId="0" fontId="0" fillId="0" borderId="0" xfId="0" applyAlignment="1">
      <alignment horizontal="center"/>
    </xf>
    <xf numFmtId="0" fontId="18" fillId="0" borderId="0" xfId="0" applyFont="1" applyAlignment="1">
      <alignment horizontal="right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1"/>
  <sheetViews>
    <sheetView tabSelected="1" topLeftCell="A44" zoomScale="70" zoomScaleNormal="70" workbookViewId="0">
      <selection activeCell="C34" sqref="C34"/>
    </sheetView>
  </sheetViews>
  <sheetFormatPr defaultRowHeight="15" x14ac:dyDescent="0.25"/>
  <cols>
    <col min="1" max="1" width="4.42578125" customWidth="1"/>
    <col min="2" max="2" width="19.85546875" customWidth="1"/>
    <col min="3" max="3" width="47.28515625" customWidth="1"/>
    <col min="4" max="4" width="13.28515625" customWidth="1"/>
    <col min="5" max="6" width="13.7109375" customWidth="1"/>
    <col min="7" max="7" width="11.7109375" customWidth="1"/>
    <col min="8" max="8" width="15.28515625" customWidth="1"/>
  </cols>
  <sheetData>
    <row r="1" spans="1:8" ht="13.5" customHeight="1" x14ac:dyDescent="0.25"/>
    <row r="2" spans="1:8" x14ac:dyDescent="0.25">
      <c r="A2" s="3"/>
      <c r="B2" s="4" t="s">
        <v>102</v>
      </c>
      <c r="C2" s="3"/>
      <c r="D2" s="3"/>
      <c r="E2" s="3"/>
      <c r="F2" s="3"/>
      <c r="G2" s="3"/>
      <c r="H2" s="3"/>
    </row>
    <row r="3" spans="1:8" x14ac:dyDescent="0.25">
      <c r="A3" s="3"/>
      <c r="B3" s="132" t="s">
        <v>9</v>
      </c>
      <c r="C3" s="132"/>
      <c r="D3" s="3"/>
      <c r="E3" s="3"/>
      <c r="F3" s="3"/>
      <c r="G3" s="3"/>
      <c r="H3" s="3"/>
    </row>
    <row r="4" spans="1:8" x14ac:dyDescent="0.25">
      <c r="A4" s="132" t="s">
        <v>10</v>
      </c>
      <c r="B4" s="132"/>
      <c r="C4" s="132"/>
      <c r="D4" s="132"/>
      <c r="E4" s="3"/>
      <c r="F4" s="37">
        <f>H48</f>
        <v>1897.3203400000002</v>
      </c>
      <c r="G4" s="4" t="s">
        <v>12</v>
      </c>
      <c r="H4" s="3"/>
    </row>
    <row r="5" spans="1:8" x14ac:dyDescent="0.25">
      <c r="A5" s="132" t="s">
        <v>11</v>
      </c>
      <c r="B5" s="132"/>
      <c r="C5" s="132"/>
      <c r="D5" s="132"/>
      <c r="E5" s="3"/>
      <c r="F5" s="29">
        <f>H49</f>
        <v>5.6654999999999989</v>
      </c>
      <c r="G5" s="4" t="s">
        <v>12</v>
      </c>
      <c r="H5" s="3"/>
    </row>
    <row r="6" spans="1:8" x14ac:dyDescent="0.25">
      <c r="A6" s="132" t="s">
        <v>101</v>
      </c>
      <c r="B6" s="132"/>
      <c r="C6" s="132"/>
      <c r="D6" s="132"/>
      <c r="E6" s="3"/>
      <c r="F6" s="37">
        <f>H51</f>
        <v>11915.558300000001</v>
      </c>
      <c r="G6" s="4" t="s">
        <v>12</v>
      </c>
      <c r="H6" s="3"/>
    </row>
    <row r="7" spans="1:8" x14ac:dyDescent="0.25">
      <c r="A7" s="132" t="s">
        <v>11</v>
      </c>
      <c r="B7" s="132"/>
      <c r="C7" s="132"/>
      <c r="D7" s="132"/>
      <c r="E7" s="3"/>
      <c r="F7" s="29">
        <f>H62</f>
        <v>0</v>
      </c>
      <c r="G7" s="4" t="s">
        <v>12</v>
      </c>
      <c r="H7" s="3"/>
    </row>
    <row r="8" spans="1:8" x14ac:dyDescent="0.25">
      <c r="A8" s="4"/>
      <c r="B8" s="4"/>
      <c r="C8" s="4"/>
      <c r="D8" s="4"/>
      <c r="E8" s="3"/>
      <c r="F8" s="3"/>
      <c r="G8" s="4"/>
      <c r="H8" s="3"/>
    </row>
    <row r="9" spans="1:8" x14ac:dyDescent="0.25">
      <c r="A9" s="4"/>
      <c r="B9" s="4"/>
      <c r="C9" s="4"/>
      <c r="D9" s="4"/>
      <c r="E9" s="3"/>
      <c r="F9" s="3"/>
      <c r="G9" s="4"/>
      <c r="H9" s="3"/>
    </row>
    <row r="10" spans="1:8" x14ac:dyDescent="0.25">
      <c r="A10" s="131" t="s">
        <v>13</v>
      </c>
      <c r="B10" s="131"/>
      <c r="C10" s="131"/>
      <c r="D10" s="131"/>
      <c r="E10" s="131"/>
      <c r="F10" s="131"/>
      <c r="G10" s="131"/>
      <c r="H10" s="131"/>
    </row>
    <row r="11" spans="1:8" ht="9" customHeight="1" x14ac:dyDescent="0.25">
      <c r="A11" s="5"/>
      <c r="B11" s="5"/>
      <c r="C11" s="5"/>
      <c r="D11" s="5"/>
      <c r="E11" s="5"/>
      <c r="F11" s="5"/>
      <c r="G11" s="5"/>
      <c r="H11" s="5"/>
    </row>
    <row r="12" spans="1:8" ht="24.75" customHeight="1" x14ac:dyDescent="0.25">
      <c r="A12" s="126" t="s">
        <v>14</v>
      </c>
      <c r="B12" s="126"/>
      <c r="C12" s="126"/>
      <c r="D12" s="126"/>
      <c r="E12" s="126"/>
      <c r="F12" s="126"/>
      <c r="G12" s="126"/>
      <c r="H12" s="126"/>
    </row>
    <row r="13" spans="1:8" ht="36" customHeight="1" x14ac:dyDescent="0.25">
      <c r="A13" s="127" t="s">
        <v>77</v>
      </c>
      <c r="B13" s="127"/>
      <c r="C13" s="127"/>
      <c r="D13" s="127"/>
      <c r="E13" s="127"/>
      <c r="F13" s="127"/>
      <c r="G13" s="127"/>
      <c r="H13" s="127"/>
    </row>
    <row r="14" spans="1:8" ht="7.5" customHeight="1" x14ac:dyDescent="0.25">
      <c r="A14" s="3"/>
      <c r="B14" s="3"/>
      <c r="C14" s="3"/>
      <c r="D14" s="3"/>
      <c r="E14" s="3"/>
      <c r="F14" s="3"/>
      <c r="G14" s="3"/>
      <c r="H14" s="3"/>
    </row>
    <row r="15" spans="1:8" x14ac:dyDescent="0.25">
      <c r="A15" s="128" t="s">
        <v>95</v>
      </c>
      <c r="B15" s="128"/>
      <c r="C15" s="128"/>
      <c r="D15" s="128"/>
      <c r="E15" s="128"/>
      <c r="F15" s="128"/>
      <c r="G15" s="128"/>
      <c r="H15" s="128"/>
    </row>
    <row r="16" spans="1:8" x14ac:dyDescent="0.25">
      <c r="A16" s="129" t="s">
        <v>0</v>
      </c>
      <c r="B16" s="129" t="s">
        <v>1</v>
      </c>
      <c r="C16" s="129" t="s">
        <v>2</v>
      </c>
      <c r="D16" s="130" t="s">
        <v>3</v>
      </c>
      <c r="E16" s="130"/>
      <c r="F16" s="130"/>
      <c r="G16" s="130"/>
      <c r="H16" s="129" t="s">
        <v>8</v>
      </c>
    </row>
    <row r="17" spans="1:8" ht="38.25" x14ac:dyDescent="0.25">
      <c r="A17" s="129"/>
      <c r="B17" s="129"/>
      <c r="C17" s="129"/>
      <c r="D17" s="2" t="s">
        <v>4</v>
      </c>
      <c r="E17" s="2" t="s">
        <v>5</v>
      </c>
      <c r="F17" s="2" t="s">
        <v>6</v>
      </c>
      <c r="G17" s="2" t="s">
        <v>7</v>
      </c>
      <c r="H17" s="129"/>
    </row>
    <row r="18" spans="1:8" x14ac:dyDescent="0.25">
      <c r="A18" s="1">
        <v>1</v>
      </c>
      <c r="B18" s="1">
        <v>2</v>
      </c>
      <c r="C18" s="1">
        <v>3</v>
      </c>
      <c r="D18" s="1">
        <v>4</v>
      </c>
      <c r="E18" s="1">
        <v>5</v>
      </c>
      <c r="F18" s="1">
        <v>6</v>
      </c>
      <c r="G18" s="1">
        <v>7</v>
      </c>
      <c r="H18" s="1">
        <v>8</v>
      </c>
    </row>
    <row r="19" spans="1:8" ht="19.5" customHeight="1" x14ac:dyDescent="0.25">
      <c r="A19" s="19"/>
      <c r="B19" s="9"/>
      <c r="C19" s="13" t="s">
        <v>63</v>
      </c>
      <c r="D19" s="10"/>
      <c r="E19" s="11"/>
      <c r="F19" s="11"/>
      <c r="G19" s="10"/>
      <c r="H19" s="11"/>
    </row>
    <row r="20" spans="1:8" ht="19.5" customHeight="1" x14ac:dyDescent="0.25">
      <c r="A20" s="19"/>
      <c r="B20" s="9"/>
      <c r="C20" s="13" t="s">
        <v>64</v>
      </c>
      <c r="D20" s="10"/>
      <c r="E20" s="11"/>
      <c r="F20" s="11"/>
      <c r="G20" s="10"/>
      <c r="H20" s="11"/>
    </row>
    <row r="21" spans="1:8" ht="19.5" customHeight="1" x14ac:dyDescent="0.25">
      <c r="A21" s="19"/>
      <c r="B21" s="9"/>
      <c r="C21" s="54" t="s">
        <v>60</v>
      </c>
      <c r="D21" s="10"/>
      <c r="E21" s="11"/>
      <c r="F21" s="11"/>
      <c r="G21" s="10"/>
      <c r="H21" s="11"/>
    </row>
    <row r="22" spans="1:8" ht="29.25" customHeight="1" x14ac:dyDescent="0.25">
      <c r="A22" s="30">
        <v>1</v>
      </c>
      <c r="B22" s="119" t="str">
        <f>Вед.расч.тек.стоим.!B12</f>
        <v>00-04-1-00-01</v>
      </c>
      <c r="C22" s="32" t="str">
        <f>Вед.расч.тек.стоим.!C12</f>
        <v>ВЛ-6 кВ Транснефть</v>
      </c>
      <c r="D22" s="104">
        <f>Вед.расч.тек.стоим.!D12</f>
        <v>377.99</v>
      </c>
      <c r="E22" s="94">
        <f>Вед.расч.тек.стоим.!E12</f>
        <v>897.94</v>
      </c>
      <c r="F22" s="94">
        <f>Вед.расч.тек.стоим.!F12</f>
        <v>145.53</v>
      </c>
      <c r="G22" s="104">
        <f>Вед.расч.тек.стоим.!G12</f>
        <v>0</v>
      </c>
      <c r="H22" s="94">
        <f>D22+E22+F22</f>
        <v>1421.46</v>
      </c>
    </row>
    <row r="23" spans="1:8" s="116" customFormat="1" hidden="1" x14ac:dyDescent="0.25">
      <c r="A23" s="120"/>
      <c r="B23" s="121"/>
      <c r="C23" s="122">
        <f>Вед.расч.тек.стоим.!C13</f>
        <v>0</v>
      </c>
      <c r="D23" s="123">
        <f>Вед.расч.тек.стоим.!D13</f>
        <v>0</v>
      </c>
      <c r="E23" s="124">
        <f>Вед.расч.тек.стоим.!E13</f>
        <v>0</v>
      </c>
      <c r="F23" s="124">
        <f>Вед.расч.тек.стоим.!F13</f>
        <v>0</v>
      </c>
      <c r="G23" s="123">
        <f>Вед.расч.тек.стоим.!G13</f>
        <v>0</v>
      </c>
      <c r="H23" s="124">
        <f t="shared" ref="H23:H25" si="0">D23+E23+F23</f>
        <v>0</v>
      </c>
    </row>
    <row r="24" spans="1:8" s="116" customFormat="1" hidden="1" x14ac:dyDescent="0.25">
      <c r="A24" s="120"/>
      <c r="B24" s="121"/>
      <c r="C24" s="122">
        <f>Вед.расч.тек.стоим.!C14</f>
        <v>0</v>
      </c>
      <c r="D24" s="123">
        <f>Вед.расч.тек.стоим.!D14</f>
        <v>0</v>
      </c>
      <c r="E24" s="124">
        <f>Вед.расч.тек.стоим.!E14</f>
        <v>0</v>
      </c>
      <c r="F24" s="124">
        <f>Вед.расч.тек.стоим.!F14</f>
        <v>0</v>
      </c>
      <c r="G24" s="123">
        <f>Вед.расч.тек.стоим.!G14</f>
        <v>0</v>
      </c>
      <c r="H24" s="124">
        <f t="shared" si="0"/>
        <v>0</v>
      </c>
    </row>
    <row r="25" spans="1:8" s="116" customFormat="1" hidden="1" x14ac:dyDescent="0.25">
      <c r="A25" s="120"/>
      <c r="B25" s="121"/>
      <c r="C25" s="122">
        <f>Вед.расч.тек.стоим.!C15</f>
        <v>0</v>
      </c>
      <c r="D25" s="123">
        <f>Вед.расч.тек.стоим.!D15</f>
        <v>0</v>
      </c>
      <c r="E25" s="124">
        <f>Вед.расч.тек.стоим.!E15</f>
        <v>0</v>
      </c>
      <c r="F25" s="124">
        <f>Вед.расч.тек.стоим.!F15</f>
        <v>0</v>
      </c>
      <c r="G25" s="123">
        <f>Вед.расч.тек.стоим.!G15</f>
        <v>0</v>
      </c>
      <c r="H25" s="124">
        <f t="shared" si="0"/>
        <v>0</v>
      </c>
    </row>
    <row r="26" spans="1:8" ht="23.25" customHeight="1" x14ac:dyDescent="0.25">
      <c r="A26" s="19"/>
      <c r="B26" s="9"/>
      <c r="C26" s="12" t="s">
        <v>15</v>
      </c>
      <c r="D26" s="95">
        <f>D22</f>
        <v>377.99</v>
      </c>
      <c r="E26" s="96">
        <f t="shared" ref="E26:H26" si="1">E22</f>
        <v>897.94</v>
      </c>
      <c r="F26" s="96">
        <f t="shared" si="1"/>
        <v>145.53</v>
      </c>
      <c r="G26" s="95">
        <f t="shared" si="1"/>
        <v>0</v>
      </c>
      <c r="H26" s="97">
        <f t="shared" si="1"/>
        <v>1421.46</v>
      </c>
    </row>
    <row r="27" spans="1:8" ht="23.25" customHeight="1" x14ac:dyDescent="0.25">
      <c r="A27" s="19"/>
      <c r="B27" s="9"/>
      <c r="C27" s="12" t="s">
        <v>16</v>
      </c>
      <c r="D27" s="95">
        <f t="shared" ref="D27:G27" si="2">D26</f>
        <v>377.99</v>
      </c>
      <c r="E27" s="96">
        <f t="shared" si="2"/>
        <v>897.94</v>
      </c>
      <c r="F27" s="96">
        <f t="shared" si="2"/>
        <v>145.53</v>
      </c>
      <c r="G27" s="95">
        <f t="shared" si="2"/>
        <v>0</v>
      </c>
      <c r="H27" s="97">
        <f>D27+E27+F27</f>
        <v>1421.46</v>
      </c>
    </row>
    <row r="28" spans="1:8" ht="18" customHeight="1" x14ac:dyDescent="0.25">
      <c r="A28" s="19"/>
      <c r="B28" s="9"/>
      <c r="C28" s="12" t="s">
        <v>17</v>
      </c>
      <c r="D28" s="98"/>
      <c r="E28" s="99"/>
      <c r="F28" s="99"/>
      <c r="G28" s="98"/>
      <c r="H28" s="99"/>
    </row>
    <row r="29" spans="1:8" ht="22.5" x14ac:dyDescent="0.25">
      <c r="A29" s="19">
        <v>2</v>
      </c>
      <c r="B29" s="33" t="s">
        <v>61</v>
      </c>
      <c r="C29" s="15" t="s">
        <v>55</v>
      </c>
      <c r="D29" s="100">
        <f>ROUND((D27*2.96%),2)</f>
        <v>11.19</v>
      </c>
      <c r="E29" s="100">
        <f>ROUND((E27*2.96%),2)</f>
        <v>26.58</v>
      </c>
      <c r="F29" s="100"/>
      <c r="G29" s="77"/>
      <c r="H29" s="100">
        <f>D29+E29</f>
        <v>37.769999999999996</v>
      </c>
    </row>
    <row r="30" spans="1:8" x14ac:dyDescent="0.25">
      <c r="A30" s="19"/>
      <c r="B30" s="9"/>
      <c r="C30" s="16" t="s">
        <v>56</v>
      </c>
      <c r="D30" s="98"/>
      <c r="E30" s="99"/>
      <c r="F30" s="99"/>
      <c r="G30" s="98"/>
      <c r="H30" s="100">
        <f>H29*15%</f>
        <v>5.6654999999999989</v>
      </c>
    </row>
    <row r="31" spans="1:8" ht="23.25" customHeight="1" x14ac:dyDescent="0.25">
      <c r="A31" s="19"/>
      <c r="B31" s="9"/>
      <c r="C31" s="12" t="s">
        <v>18</v>
      </c>
      <c r="D31" s="95">
        <f>D27+D29</f>
        <v>389.18</v>
      </c>
      <c r="E31" s="96">
        <f>E27+E29</f>
        <v>924.5200000000001</v>
      </c>
      <c r="F31" s="96">
        <f>F27</f>
        <v>145.53</v>
      </c>
      <c r="G31" s="95">
        <f>G27</f>
        <v>0</v>
      </c>
      <c r="H31" s="96">
        <f>D31+E31+F31</f>
        <v>1459.23</v>
      </c>
    </row>
    <row r="32" spans="1:8" ht="18" customHeight="1" x14ac:dyDescent="0.25">
      <c r="A32" s="19"/>
      <c r="B32" s="9"/>
      <c r="C32" s="12" t="s">
        <v>19</v>
      </c>
      <c r="D32" s="98"/>
      <c r="E32" s="99"/>
      <c r="F32" s="99"/>
      <c r="G32" s="98"/>
      <c r="H32" s="99"/>
    </row>
    <row r="33" spans="1:8" ht="29.25" customHeight="1" x14ac:dyDescent="0.25">
      <c r="A33" s="19">
        <v>3</v>
      </c>
      <c r="B33" s="33" t="s">
        <v>92</v>
      </c>
      <c r="C33" s="17" t="s">
        <v>91</v>
      </c>
      <c r="D33" s="100">
        <f>ROUND((D31*0.4%),2)</f>
        <v>1.56</v>
      </c>
      <c r="E33" s="100">
        <f>ROUND((E31*0.4%),2)</f>
        <v>3.7</v>
      </c>
      <c r="F33" s="100"/>
      <c r="G33" s="77"/>
      <c r="H33" s="100">
        <f>D33+E33</f>
        <v>5.26</v>
      </c>
    </row>
    <row r="34" spans="1:8" ht="23.25" customHeight="1" x14ac:dyDescent="0.25">
      <c r="A34" s="19">
        <v>4</v>
      </c>
      <c r="B34" s="18" t="str">
        <f>Вед.расч.тек.стоим.!B24</f>
        <v>ЛС №00-09-0-00-01</v>
      </c>
      <c r="C34" s="15" t="str">
        <f>Вед.расч.тек.стоим.!C24</f>
        <v>ВЛ-6 кВ Транснефть. Пусконаладочные работы</v>
      </c>
      <c r="D34" s="77"/>
      <c r="E34" s="100"/>
      <c r="F34" s="100"/>
      <c r="G34" s="77">
        <f>Вед.расч.тек.стоим.!G24</f>
        <v>90.68</v>
      </c>
      <c r="H34" s="100">
        <f>G34</f>
        <v>90.68</v>
      </c>
    </row>
    <row r="35" spans="1:8" ht="23.25" customHeight="1" x14ac:dyDescent="0.25">
      <c r="A35" s="19"/>
      <c r="B35" s="9"/>
      <c r="C35" s="12" t="s">
        <v>20</v>
      </c>
      <c r="D35" s="95">
        <f>D33</f>
        <v>1.56</v>
      </c>
      <c r="E35" s="96">
        <f>E33</f>
        <v>3.7</v>
      </c>
      <c r="F35" s="96"/>
      <c r="G35" s="95">
        <f>G34</f>
        <v>90.68</v>
      </c>
      <c r="H35" s="96">
        <f>D35+E35+F35+G35</f>
        <v>95.940000000000012</v>
      </c>
    </row>
    <row r="36" spans="1:8" ht="22.5" customHeight="1" x14ac:dyDescent="0.25">
      <c r="A36" s="19"/>
      <c r="B36" s="9"/>
      <c r="C36" s="12" t="s">
        <v>21</v>
      </c>
      <c r="D36" s="95">
        <f>D31+D35</f>
        <v>390.74</v>
      </c>
      <c r="E36" s="96">
        <f>E31+E35</f>
        <v>928.22000000000014</v>
      </c>
      <c r="F36" s="96">
        <f>F31</f>
        <v>145.53</v>
      </c>
      <c r="G36" s="95">
        <f>G35</f>
        <v>90.68</v>
      </c>
      <c r="H36" s="96">
        <f>D36+E36+F36+G36</f>
        <v>1555.17</v>
      </c>
    </row>
    <row r="37" spans="1:8" ht="19.5" customHeight="1" x14ac:dyDescent="0.25">
      <c r="A37" s="19"/>
      <c r="B37" s="9"/>
      <c r="C37" s="12" t="s">
        <v>22</v>
      </c>
      <c r="D37" s="98"/>
      <c r="E37" s="99"/>
      <c r="F37" s="99"/>
      <c r="G37" s="98"/>
      <c r="H37" s="99"/>
    </row>
    <row r="38" spans="1:8" ht="26.25" customHeight="1" x14ac:dyDescent="0.25">
      <c r="A38" s="19">
        <v>5</v>
      </c>
      <c r="B38" s="33"/>
      <c r="C38" s="17" t="s">
        <v>65</v>
      </c>
      <c r="D38" s="77"/>
      <c r="E38" s="100"/>
      <c r="F38" s="100"/>
      <c r="G38" s="77">
        <f>ROUND(((H36+H45)*2.2%),2)</f>
        <v>39.65</v>
      </c>
      <c r="H38" s="100">
        <f>G38</f>
        <v>39.65</v>
      </c>
    </row>
    <row r="39" spans="1:8" ht="23.25" customHeight="1" x14ac:dyDescent="0.25">
      <c r="A39" s="19"/>
      <c r="B39" s="9"/>
      <c r="C39" s="12" t="s">
        <v>23</v>
      </c>
      <c r="D39" s="95"/>
      <c r="E39" s="96"/>
      <c r="F39" s="96"/>
      <c r="G39" s="95">
        <f>G38</f>
        <v>39.65</v>
      </c>
      <c r="H39" s="96">
        <f>H38</f>
        <v>39.65</v>
      </c>
    </row>
    <row r="40" spans="1:8" ht="23.25" customHeight="1" x14ac:dyDescent="0.25">
      <c r="A40" s="19"/>
      <c r="B40" s="9"/>
      <c r="C40" s="12" t="s">
        <v>24</v>
      </c>
      <c r="D40" s="95">
        <f>D36</f>
        <v>390.74</v>
      </c>
      <c r="E40" s="96">
        <f>E36</f>
        <v>928.22000000000014</v>
      </c>
      <c r="F40" s="96">
        <f>F36</f>
        <v>145.53</v>
      </c>
      <c r="G40" s="95">
        <f>G36+G39</f>
        <v>130.33000000000001</v>
      </c>
      <c r="H40" s="96">
        <f>D40+E40+F40+G40</f>
        <v>1594.82</v>
      </c>
    </row>
    <row r="41" spans="1:8" ht="18" customHeight="1" x14ac:dyDescent="0.25">
      <c r="A41" s="19"/>
      <c r="B41" s="9"/>
      <c r="C41" s="12" t="s">
        <v>25</v>
      </c>
      <c r="D41" s="98"/>
      <c r="E41" s="99"/>
      <c r="F41" s="99"/>
      <c r="G41" s="98"/>
      <c r="H41" s="99"/>
    </row>
    <row r="42" spans="1:8" ht="23.25" customHeight="1" x14ac:dyDescent="0.25">
      <c r="A42" s="19">
        <v>6</v>
      </c>
      <c r="B42" s="18" t="s">
        <v>26</v>
      </c>
      <c r="C42" s="15" t="s">
        <v>73</v>
      </c>
      <c r="D42" s="98"/>
      <c r="E42" s="99"/>
      <c r="F42" s="99"/>
      <c r="G42" s="77">
        <f>Вед.расч.тек.стоим.!G32</f>
        <v>109.89</v>
      </c>
      <c r="H42" s="100">
        <f>G42</f>
        <v>109.89</v>
      </c>
    </row>
    <row r="43" spans="1:8" ht="23.25" customHeight="1" x14ac:dyDescent="0.25">
      <c r="A43" s="19">
        <v>7</v>
      </c>
      <c r="B43" s="18" t="s">
        <v>26</v>
      </c>
      <c r="C43" s="15" t="s">
        <v>74</v>
      </c>
      <c r="D43" s="98"/>
      <c r="E43" s="99"/>
      <c r="F43" s="99"/>
      <c r="G43" s="77">
        <f>Вед.расч.тек.стоим.!G33</f>
        <v>134.22999999999999</v>
      </c>
      <c r="H43" s="100">
        <f>G43</f>
        <v>134.22999999999999</v>
      </c>
    </row>
    <row r="44" spans="1:8" ht="23.25" customHeight="1" x14ac:dyDescent="0.25">
      <c r="A44" s="19">
        <v>8</v>
      </c>
      <c r="B44" s="33" t="s">
        <v>54</v>
      </c>
      <c r="C44" s="15" t="s">
        <v>27</v>
      </c>
      <c r="D44" s="98"/>
      <c r="E44" s="99"/>
      <c r="F44" s="99"/>
      <c r="G44" s="77">
        <f>H36*0.2%</f>
        <v>3.1103400000000003</v>
      </c>
      <c r="H44" s="100">
        <f>G44</f>
        <v>3.1103400000000003</v>
      </c>
    </row>
    <row r="45" spans="1:8" ht="22.5" customHeight="1" x14ac:dyDescent="0.25">
      <c r="A45" s="19"/>
      <c r="B45" s="9"/>
      <c r="C45" s="12" t="s">
        <v>29</v>
      </c>
      <c r="D45" s="95"/>
      <c r="E45" s="96"/>
      <c r="F45" s="96"/>
      <c r="G45" s="95">
        <f>G42+G43+G44</f>
        <v>247.23034000000001</v>
      </c>
      <c r="H45" s="96">
        <f>H42+H43+H44</f>
        <v>247.23034000000001</v>
      </c>
    </row>
    <row r="46" spans="1:8" ht="22.5" customHeight="1" x14ac:dyDescent="0.25">
      <c r="A46" s="19"/>
      <c r="B46" s="9"/>
      <c r="C46" s="12" t="s">
        <v>30</v>
      </c>
      <c r="D46" s="95">
        <f>D40</f>
        <v>390.74</v>
      </c>
      <c r="E46" s="96">
        <f>E40</f>
        <v>928.22000000000014</v>
      </c>
      <c r="F46" s="96">
        <f>F40</f>
        <v>145.53</v>
      </c>
      <c r="G46" s="95">
        <f>G40+G45</f>
        <v>377.56034</v>
      </c>
      <c r="H46" s="96">
        <f>D46+E46+F46+G46</f>
        <v>1842.05034</v>
      </c>
    </row>
    <row r="47" spans="1:8" ht="24" customHeight="1" x14ac:dyDescent="0.25">
      <c r="A47" s="19">
        <v>9</v>
      </c>
      <c r="B47" s="33" t="s">
        <v>32</v>
      </c>
      <c r="C47" s="15" t="s">
        <v>31</v>
      </c>
      <c r="D47" s="100">
        <f>ROUND((D46*3%),2)</f>
        <v>11.72</v>
      </c>
      <c r="E47" s="100">
        <f>ROUND((E46*3%),2)</f>
        <v>27.85</v>
      </c>
      <c r="F47" s="100">
        <f>ROUND((F46*3%),2)</f>
        <v>4.37</v>
      </c>
      <c r="G47" s="77">
        <f>ROUND((G46*3%),2)</f>
        <v>11.33</v>
      </c>
      <c r="H47" s="100">
        <f>D47+E47+F47+G47</f>
        <v>55.269999999999996</v>
      </c>
    </row>
    <row r="48" spans="1:8" ht="33.75" customHeight="1" x14ac:dyDescent="0.25">
      <c r="A48" s="19"/>
      <c r="B48" s="9"/>
      <c r="C48" s="20" t="s">
        <v>58</v>
      </c>
      <c r="D48" s="95">
        <f>D46+D47</f>
        <v>402.46000000000004</v>
      </c>
      <c r="E48" s="96">
        <f>E46+E47</f>
        <v>956.07000000000016</v>
      </c>
      <c r="F48" s="96">
        <f>F46+F47</f>
        <v>149.9</v>
      </c>
      <c r="G48" s="95">
        <f>G46+G47</f>
        <v>388.89033999999998</v>
      </c>
      <c r="H48" s="96">
        <f>D48+E48+F48+G48</f>
        <v>1897.3203400000002</v>
      </c>
    </row>
    <row r="49" spans="1:10" x14ac:dyDescent="0.25">
      <c r="A49" s="19"/>
      <c r="B49" s="9"/>
      <c r="C49" s="35" t="s">
        <v>38</v>
      </c>
      <c r="D49" s="101"/>
      <c r="E49" s="102"/>
      <c r="F49" s="102"/>
      <c r="G49" s="101"/>
      <c r="H49" s="103">
        <f>H30</f>
        <v>5.6654999999999989</v>
      </c>
    </row>
    <row r="50" spans="1:10" ht="6" customHeight="1" x14ac:dyDescent="0.25">
      <c r="A50" s="19"/>
      <c r="B50" s="9"/>
      <c r="C50" s="17"/>
      <c r="D50" s="98"/>
      <c r="E50" s="99"/>
      <c r="F50" s="99"/>
      <c r="G50" s="98"/>
      <c r="H50" s="99"/>
    </row>
    <row r="51" spans="1:10" ht="33" customHeight="1" x14ac:dyDescent="0.25">
      <c r="A51" s="19"/>
      <c r="B51" s="14" t="s">
        <v>33</v>
      </c>
      <c r="C51" s="55" t="s">
        <v>104</v>
      </c>
      <c r="D51" s="95">
        <f>Вед.расч.тек.стоим.!N38</f>
        <v>3877.2799999999997</v>
      </c>
      <c r="E51" s="96">
        <f>Вед.расч.тек.стоим.!O38</f>
        <v>4092.32</v>
      </c>
      <c r="F51" s="96">
        <f>Вед.расч.тек.стоим.!P38</f>
        <v>789.95309999999995</v>
      </c>
      <c r="G51" s="95">
        <f>Вед.расч.тек.стоим.!Q38</f>
        <v>3156.0052000000005</v>
      </c>
      <c r="H51" s="96">
        <f>Вед.расч.тек.стоим.!R38</f>
        <v>11915.558300000001</v>
      </c>
    </row>
    <row r="52" spans="1:10" ht="26.25" customHeight="1" x14ac:dyDescent="0.25">
      <c r="A52" s="19"/>
      <c r="B52" s="21"/>
      <c r="C52" s="17" t="s">
        <v>34</v>
      </c>
      <c r="D52" s="77">
        <f>D51</f>
        <v>3877.2799999999997</v>
      </c>
      <c r="E52" s="100">
        <f>E51</f>
        <v>4092.32</v>
      </c>
      <c r="F52" s="100"/>
      <c r="G52" s="77"/>
      <c r="H52" s="100">
        <f>D52+E52</f>
        <v>7969.6</v>
      </c>
    </row>
    <row r="53" spans="1:10" ht="26.25" customHeight="1" x14ac:dyDescent="0.25">
      <c r="A53" s="19"/>
      <c r="B53" s="21" t="s">
        <v>103</v>
      </c>
      <c r="C53" s="17" t="s">
        <v>67</v>
      </c>
      <c r="D53" s="77">
        <f>Вед.расч.тек.стоим.!N38</f>
        <v>3877.2799999999997</v>
      </c>
      <c r="E53" s="100">
        <f>Вед.расч.тек.стоим.!O38</f>
        <v>4092.32</v>
      </c>
      <c r="F53" s="100"/>
      <c r="G53" s="77"/>
      <c r="H53" s="100"/>
    </row>
    <row r="54" spans="1:10" ht="26.25" customHeight="1" x14ac:dyDescent="0.25">
      <c r="A54" s="19"/>
      <c r="B54" s="21" t="s">
        <v>96</v>
      </c>
      <c r="C54" s="17" t="s">
        <v>35</v>
      </c>
      <c r="D54" s="77"/>
      <c r="E54" s="100"/>
      <c r="F54" s="100">
        <f>F51</f>
        <v>789.95309999999995</v>
      </c>
      <c r="G54" s="77"/>
      <c r="H54" s="100">
        <f>F54</f>
        <v>789.95309999999995</v>
      </c>
    </row>
    <row r="55" spans="1:10" ht="26.25" customHeight="1" x14ac:dyDescent="0.25">
      <c r="A55" s="22"/>
      <c r="B55" s="21" t="s">
        <v>97</v>
      </c>
      <c r="C55" s="17" t="s">
        <v>36</v>
      </c>
      <c r="D55" s="77"/>
      <c r="E55" s="100"/>
      <c r="F55" s="100"/>
      <c r="G55" s="77">
        <f>ROUND(Вед.расч.тек.стоим.!Q25*1.03,2)</f>
        <v>1694.28</v>
      </c>
      <c r="H55" s="100">
        <f>G55</f>
        <v>1694.28</v>
      </c>
    </row>
    <row r="56" spans="1:10" ht="26.25" customHeight="1" x14ac:dyDescent="0.25">
      <c r="A56" s="22"/>
      <c r="B56" s="21" t="s">
        <v>75</v>
      </c>
      <c r="C56" s="17" t="s">
        <v>37</v>
      </c>
      <c r="D56" s="77"/>
      <c r="E56" s="100"/>
      <c r="F56" s="100"/>
      <c r="G56" s="77">
        <f>G51-G55-G57-G59</f>
        <v>947.17520000000059</v>
      </c>
      <c r="H56" s="100">
        <f>G56</f>
        <v>947.17520000000059</v>
      </c>
    </row>
    <row r="57" spans="1:10" ht="26.25" customHeight="1" x14ac:dyDescent="0.25">
      <c r="A57" s="22"/>
      <c r="B57" s="21" t="s">
        <v>98</v>
      </c>
      <c r="C57" s="17" t="s">
        <v>69</v>
      </c>
      <c r="D57" s="77"/>
      <c r="E57" s="100"/>
      <c r="F57" s="100"/>
      <c r="G57" s="77">
        <f>Вед.расч.тек.стоим.!Q32</f>
        <v>500</v>
      </c>
      <c r="H57" s="100">
        <f>G57</f>
        <v>500</v>
      </c>
      <c r="J57" t="s">
        <v>66</v>
      </c>
    </row>
    <row r="58" spans="1:10" ht="26.25" customHeight="1" x14ac:dyDescent="0.25">
      <c r="A58" s="22"/>
      <c r="B58" s="21" t="s">
        <v>99</v>
      </c>
      <c r="C58" s="17" t="s">
        <v>70</v>
      </c>
      <c r="D58" s="77"/>
      <c r="E58" s="100"/>
      <c r="F58" s="100"/>
      <c r="G58" s="77">
        <f>Вед.расч.тек.стоим.!Q33</f>
        <v>600</v>
      </c>
      <c r="H58" s="100">
        <f>G58</f>
        <v>600</v>
      </c>
      <c r="J58" t="s">
        <v>66</v>
      </c>
    </row>
    <row r="59" spans="1:10" ht="26.25" customHeight="1" x14ac:dyDescent="0.25">
      <c r="A59" s="22"/>
      <c r="B59" s="21" t="s">
        <v>99</v>
      </c>
      <c r="C59" s="17" t="s">
        <v>62</v>
      </c>
      <c r="D59" s="77"/>
      <c r="E59" s="100"/>
      <c r="F59" s="100"/>
      <c r="G59" s="77">
        <f>ROUND(Вед.расч.тек.стоим.!Q34*1.03,2)</f>
        <v>14.55</v>
      </c>
      <c r="H59" s="100">
        <f>G59</f>
        <v>14.55</v>
      </c>
    </row>
    <row r="60" spans="1:10" ht="25.5" x14ac:dyDescent="0.25">
      <c r="A60" s="22"/>
      <c r="B60" s="21"/>
      <c r="C60" s="53" t="s">
        <v>68</v>
      </c>
      <c r="D60" s="77">
        <f>ROUND((D51*20%),2)</f>
        <v>775.46</v>
      </c>
      <c r="E60" s="100">
        <f>ROUND((E51*20%),2)</f>
        <v>818.46</v>
      </c>
      <c r="F60" s="100">
        <f>ROUND((F51*20%),2)</f>
        <v>157.99</v>
      </c>
      <c r="G60" s="100">
        <f>ROUND((G51*20%),2)</f>
        <v>631.20000000000005</v>
      </c>
      <c r="H60" s="100">
        <f>D60+E60+F60+G60</f>
        <v>2383.11</v>
      </c>
    </row>
    <row r="61" spans="1:10" ht="30.75" customHeight="1" x14ac:dyDescent="0.25">
      <c r="A61" s="22"/>
      <c r="B61" s="21"/>
      <c r="C61" s="55" t="s">
        <v>100</v>
      </c>
      <c r="D61" s="95">
        <f>D51+D60</f>
        <v>4652.74</v>
      </c>
      <c r="E61" s="96">
        <f>E51+E60</f>
        <v>4910.7800000000007</v>
      </c>
      <c r="F61" s="96">
        <f>F51+F60</f>
        <v>947.94309999999996</v>
      </c>
      <c r="G61" s="95">
        <f>G51+G60</f>
        <v>3787.2052000000003</v>
      </c>
      <c r="H61" s="96">
        <f>D61+E61+F61+G61</f>
        <v>14298.668300000001</v>
      </c>
    </row>
    <row r="62" spans="1:10" x14ac:dyDescent="0.25">
      <c r="A62" s="24"/>
      <c r="B62" s="23"/>
      <c r="C62" s="8" t="s">
        <v>38</v>
      </c>
      <c r="D62" s="7"/>
      <c r="E62" s="6"/>
      <c r="F62" s="6"/>
      <c r="G62" s="7"/>
      <c r="H62" s="36">
        <f>Вед.расч.тек.стоим.!R39</f>
        <v>0</v>
      </c>
    </row>
    <row r="63" spans="1:10" x14ac:dyDescent="0.25">
      <c r="A63" s="3"/>
      <c r="B63" s="3"/>
      <c r="C63" s="3"/>
      <c r="D63" s="3"/>
      <c r="E63" s="3"/>
      <c r="F63" s="3"/>
      <c r="G63" s="3"/>
      <c r="H63" s="3"/>
    </row>
    <row r="66" spans="2:2" s="105" customFormat="1" x14ac:dyDescent="0.25">
      <c r="B66" s="105" t="s">
        <v>59</v>
      </c>
    </row>
    <row r="67" spans="2:2" s="105" customFormat="1" x14ac:dyDescent="0.25"/>
    <row r="68" spans="2:2" s="105" customFormat="1" x14ac:dyDescent="0.25"/>
    <row r="69" spans="2:2" s="105" customFormat="1" x14ac:dyDescent="0.25"/>
    <row r="70" spans="2:2" s="105" customFormat="1" x14ac:dyDescent="0.25">
      <c r="B70" s="105" t="s">
        <v>53</v>
      </c>
    </row>
    <row r="71" spans="2:2" s="105" customFormat="1" x14ac:dyDescent="0.25"/>
  </sheetData>
  <mergeCells count="14">
    <mergeCell ref="A10:H10"/>
    <mergeCell ref="B3:C3"/>
    <mergeCell ref="A4:D4"/>
    <mergeCell ref="A5:D5"/>
    <mergeCell ref="A6:D6"/>
    <mergeCell ref="A7:D7"/>
    <mergeCell ref="A12:H12"/>
    <mergeCell ref="A13:H13"/>
    <mergeCell ref="A15:H15"/>
    <mergeCell ref="A16:A17"/>
    <mergeCell ref="B16:B17"/>
    <mergeCell ref="C16:C17"/>
    <mergeCell ref="D16:G16"/>
    <mergeCell ref="H16:H17"/>
  </mergeCells>
  <pageMargins left="0.31496062992125984" right="0.31496062992125984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3"/>
  <sheetViews>
    <sheetView topLeftCell="A31" zoomScale="80" zoomScaleNormal="80" workbookViewId="0">
      <selection activeCell="N7" sqref="N7:R7"/>
    </sheetView>
  </sheetViews>
  <sheetFormatPr defaultRowHeight="15" x14ac:dyDescent="0.25"/>
  <cols>
    <col min="1" max="1" width="4.85546875" customWidth="1"/>
    <col min="2" max="2" width="14.85546875" customWidth="1"/>
    <col min="3" max="3" width="43.85546875" customWidth="1"/>
    <col min="4" max="8" width="9.28515625" customWidth="1"/>
    <col min="9" max="9" width="7.7109375" customWidth="1"/>
    <col min="10" max="10" width="6.7109375" customWidth="1"/>
    <col min="11" max="11" width="7.5703125" customWidth="1"/>
    <col min="12" max="12" width="7" customWidth="1"/>
    <col min="13" max="13" width="6.42578125" customWidth="1"/>
    <col min="14" max="18" width="10.42578125" customWidth="1"/>
  </cols>
  <sheetData>
    <row r="1" spans="1:18" ht="12.75" customHeight="1" x14ac:dyDescent="0.25">
      <c r="N1" s="135"/>
      <c r="O1" s="135"/>
      <c r="P1" s="135"/>
      <c r="Q1" s="135"/>
      <c r="R1" s="135"/>
    </row>
    <row r="2" spans="1:18" ht="12.75" customHeight="1" x14ac:dyDescent="0.25">
      <c r="N2" s="34"/>
      <c r="O2" s="34"/>
      <c r="P2" s="135" t="s">
        <v>76</v>
      </c>
      <c r="Q2" s="135"/>
      <c r="R2" s="135"/>
    </row>
    <row r="3" spans="1:18" ht="9" customHeight="1" x14ac:dyDescent="0.25"/>
    <row r="4" spans="1:18" ht="20.25" customHeight="1" x14ac:dyDescent="0.25">
      <c r="A4" s="144" t="s">
        <v>52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</row>
    <row r="5" spans="1:18" ht="50.25" customHeight="1" x14ac:dyDescent="0.25">
      <c r="A5" s="127" t="str">
        <f>'ССР объединенная база и текущ'!A13:H13</f>
        <v xml:space="preserve"> "Проектирование строительства ВЛ-6кВ №Ха-22/1, расположенной по адресу: Краснодарский край, Апшеронский район, г. Хадыженск."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</row>
    <row r="6" spans="1:18" ht="5.25" customHeight="1" thickBot="1" x14ac:dyDescent="0.3">
      <c r="A6" s="3"/>
      <c r="B6" s="3"/>
      <c r="C6" s="3"/>
      <c r="D6" s="3"/>
      <c r="E6" s="3"/>
      <c r="F6" s="3"/>
      <c r="G6" s="3"/>
      <c r="H6" s="3"/>
    </row>
    <row r="7" spans="1:18" ht="50.25" customHeight="1" x14ac:dyDescent="0.25">
      <c r="A7" s="139" t="s">
        <v>50</v>
      </c>
      <c r="B7" s="141" t="s">
        <v>1</v>
      </c>
      <c r="C7" s="142" t="s">
        <v>2</v>
      </c>
      <c r="D7" s="136" t="s">
        <v>41</v>
      </c>
      <c r="E7" s="136"/>
      <c r="F7" s="136"/>
      <c r="G7" s="136"/>
      <c r="H7" s="137"/>
      <c r="I7" s="138" t="s">
        <v>78</v>
      </c>
      <c r="J7" s="136"/>
      <c r="K7" s="136"/>
      <c r="L7" s="136"/>
      <c r="M7" s="137"/>
      <c r="N7" s="138" t="s">
        <v>105</v>
      </c>
      <c r="O7" s="136"/>
      <c r="P7" s="136"/>
      <c r="Q7" s="136"/>
      <c r="R7" s="137"/>
    </row>
    <row r="8" spans="1:18" ht="72" customHeight="1" x14ac:dyDescent="0.25">
      <c r="A8" s="140"/>
      <c r="B8" s="129"/>
      <c r="C8" s="143"/>
      <c r="D8" s="56" t="s">
        <v>47</v>
      </c>
      <c r="E8" s="2" t="s">
        <v>46</v>
      </c>
      <c r="F8" s="2" t="s">
        <v>45</v>
      </c>
      <c r="G8" s="28" t="s">
        <v>7</v>
      </c>
      <c r="H8" s="52" t="s">
        <v>39</v>
      </c>
      <c r="I8" s="51" t="s">
        <v>42</v>
      </c>
      <c r="J8" s="2" t="s">
        <v>43</v>
      </c>
      <c r="K8" s="2" t="s">
        <v>48</v>
      </c>
      <c r="L8" s="2" t="s">
        <v>44</v>
      </c>
      <c r="M8" s="52" t="s">
        <v>49</v>
      </c>
      <c r="N8" s="51" t="s">
        <v>47</v>
      </c>
      <c r="O8" s="2" t="s">
        <v>46</v>
      </c>
      <c r="P8" s="2" t="s">
        <v>45</v>
      </c>
      <c r="Q8" s="28" t="s">
        <v>7</v>
      </c>
      <c r="R8" s="52" t="s">
        <v>39</v>
      </c>
    </row>
    <row r="9" spans="1:18" s="26" customFormat="1" ht="12" x14ac:dyDescent="0.2">
      <c r="A9" s="38">
        <v>1</v>
      </c>
      <c r="B9" s="25">
        <v>2</v>
      </c>
      <c r="C9" s="39">
        <v>3</v>
      </c>
      <c r="D9" s="57">
        <v>4</v>
      </c>
      <c r="E9" s="25">
        <v>5</v>
      </c>
      <c r="F9" s="25">
        <v>6</v>
      </c>
      <c r="G9" s="25">
        <v>7</v>
      </c>
      <c r="H9" s="39">
        <v>8</v>
      </c>
      <c r="I9" s="38">
        <v>9</v>
      </c>
      <c r="J9" s="25">
        <v>10</v>
      </c>
      <c r="K9" s="25">
        <v>11</v>
      </c>
      <c r="L9" s="25">
        <v>12</v>
      </c>
      <c r="M9" s="39">
        <v>13</v>
      </c>
      <c r="N9" s="38">
        <v>14</v>
      </c>
      <c r="O9" s="25">
        <v>15</v>
      </c>
      <c r="P9" s="25">
        <v>16</v>
      </c>
      <c r="Q9" s="25">
        <v>17</v>
      </c>
      <c r="R9" s="39">
        <v>18</v>
      </c>
    </row>
    <row r="10" spans="1:18" x14ac:dyDescent="0.25">
      <c r="A10" s="42"/>
      <c r="B10" s="9"/>
      <c r="C10" s="45" t="str">
        <f>'ССР объединенная база и текущ'!C19</f>
        <v>Глава 4. Объекты энергетического хозяйства</v>
      </c>
      <c r="D10" s="63"/>
      <c r="E10" s="64"/>
      <c r="F10" s="64"/>
      <c r="G10" s="63"/>
      <c r="H10" s="65"/>
      <c r="I10" s="62"/>
      <c r="J10" s="59"/>
      <c r="K10" s="60"/>
      <c r="L10" s="59"/>
      <c r="M10" s="61"/>
      <c r="N10" s="66"/>
      <c r="O10" s="64"/>
      <c r="P10" s="64"/>
      <c r="Q10" s="63"/>
      <c r="R10" s="65"/>
    </row>
    <row r="11" spans="1:18" x14ac:dyDescent="0.25">
      <c r="A11" s="42"/>
      <c r="B11" s="9"/>
      <c r="C11" s="58" t="str">
        <f>'ССР объединенная база и текущ'!C20</f>
        <v>Раздел 1. Объекты электроэнергетики</v>
      </c>
      <c r="D11" s="63"/>
      <c r="E11" s="64"/>
      <c r="F11" s="64"/>
      <c r="G11" s="63"/>
      <c r="H11" s="64"/>
      <c r="I11" s="62"/>
      <c r="J11" s="59"/>
      <c r="K11" s="60"/>
      <c r="L11" s="59"/>
      <c r="M11" s="61"/>
      <c r="N11" s="66"/>
      <c r="O11" s="64"/>
      <c r="P11" s="64"/>
      <c r="Q11" s="63"/>
      <c r="R11" s="65"/>
    </row>
    <row r="12" spans="1:18" ht="26.25" customHeight="1" x14ac:dyDescent="0.25">
      <c r="A12" s="40">
        <v>1</v>
      </c>
      <c r="B12" s="31" t="s">
        <v>79</v>
      </c>
      <c r="C12" s="41" t="s">
        <v>80</v>
      </c>
      <c r="D12" s="79">
        <f>377.99</f>
        <v>377.99</v>
      </c>
      <c r="E12" s="80">
        <f>897.94</f>
        <v>897.94</v>
      </c>
      <c r="F12" s="80">
        <f>145.53</f>
        <v>145.53</v>
      </c>
      <c r="G12" s="80">
        <f t="shared" ref="G12" si="0">SUM(G13:G15)</f>
        <v>0</v>
      </c>
      <c r="H12" s="81">
        <f t="shared" ref="H12" si="1">D12+E12+F12+G12</f>
        <v>1421.46</v>
      </c>
      <c r="I12" s="69" t="s">
        <v>71</v>
      </c>
      <c r="J12" s="70">
        <f>(N12+O12)/(D12+E12)</f>
        <v>5.7497433244770484</v>
      </c>
      <c r="K12" s="67">
        <v>5.27</v>
      </c>
      <c r="L12" s="76"/>
      <c r="M12" s="74"/>
      <c r="N12" s="70">
        <f>3645.5</f>
        <v>3645.5</v>
      </c>
      <c r="O12" s="70">
        <f>3690.77</f>
        <v>3690.77</v>
      </c>
      <c r="P12" s="70">
        <f>F12*K12</f>
        <v>766.94309999999996</v>
      </c>
      <c r="Q12" s="70">
        <f t="shared" ref="Q12" si="2">SUM(Q13:Q15)</f>
        <v>0</v>
      </c>
      <c r="R12" s="81">
        <f t="shared" ref="R12" si="3">N12+O12+P12+Q12</f>
        <v>8103.2131000000008</v>
      </c>
    </row>
    <row r="13" spans="1:18" s="116" customFormat="1" ht="45" customHeight="1" x14ac:dyDescent="0.25">
      <c r="A13" s="106"/>
      <c r="B13" s="107"/>
      <c r="C13" s="108"/>
      <c r="D13" s="118"/>
      <c r="E13" s="109"/>
      <c r="F13" s="109"/>
      <c r="G13" s="109"/>
      <c r="H13" s="110"/>
      <c r="I13" s="111" t="s">
        <v>83</v>
      </c>
      <c r="J13" s="125" t="s">
        <v>86</v>
      </c>
      <c r="K13" s="113"/>
      <c r="L13" s="114"/>
      <c r="M13" s="115"/>
      <c r="N13" s="112"/>
      <c r="O13" s="112"/>
      <c r="P13" s="112"/>
      <c r="Q13" s="112"/>
      <c r="R13" s="110"/>
    </row>
    <row r="14" spans="1:18" s="116" customFormat="1" ht="25.5" x14ac:dyDescent="0.25">
      <c r="A14" s="117"/>
      <c r="B14" s="107"/>
      <c r="C14" s="108"/>
      <c r="D14" s="118"/>
      <c r="E14" s="109"/>
      <c r="F14" s="109"/>
      <c r="G14" s="109"/>
      <c r="H14" s="110"/>
      <c r="I14" s="111" t="s">
        <v>84</v>
      </c>
      <c r="J14" s="125" t="s">
        <v>87</v>
      </c>
      <c r="K14" s="113"/>
      <c r="L14" s="114"/>
      <c r="M14" s="115"/>
      <c r="N14" s="112"/>
      <c r="O14" s="112"/>
      <c r="P14" s="112"/>
      <c r="Q14" s="112"/>
      <c r="R14" s="110"/>
    </row>
    <row r="15" spans="1:18" s="116" customFormat="1" ht="25.5" customHeight="1" x14ac:dyDescent="0.25">
      <c r="A15" s="117"/>
      <c r="B15" s="107"/>
      <c r="C15" s="108"/>
      <c r="D15" s="118"/>
      <c r="E15" s="109"/>
      <c r="F15" s="109"/>
      <c r="G15" s="109"/>
      <c r="H15" s="110"/>
      <c r="I15" s="111" t="s">
        <v>85</v>
      </c>
      <c r="J15" s="125">
        <v>5.81</v>
      </c>
      <c r="K15" s="113"/>
      <c r="L15" s="114"/>
      <c r="M15" s="115"/>
      <c r="N15" s="112"/>
      <c r="O15" s="112"/>
      <c r="P15" s="112"/>
      <c r="Q15" s="112"/>
      <c r="R15" s="110"/>
    </row>
    <row r="16" spans="1:18" ht="21" customHeight="1" x14ac:dyDescent="0.25">
      <c r="A16" s="42"/>
      <c r="B16" s="9"/>
      <c r="C16" s="44" t="s">
        <v>72</v>
      </c>
      <c r="D16" s="76">
        <f>D12</f>
        <v>377.99</v>
      </c>
      <c r="E16" s="76">
        <f t="shared" ref="E16:H16" si="4">E12</f>
        <v>897.94</v>
      </c>
      <c r="F16" s="76">
        <f t="shared" si="4"/>
        <v>145.53</v>
      </c>
      <c r="G16" s="73">
        <f t="shared" si="4"/>
        <v>0</v>
      </c>
      <c r="H16" s="78">
        <f t="shared" si="4"/>
        <v>1421.46</v>
      </c>
      <c r="I16" s="69"/>
      <c r="J16" s="70"/>
      <c r="K16" s="67"/>
      <c r="L16" s="70"/>
      <c r="M16" s="68"/>
      <c r="N16" s="76">
        <f t="shared" ref="N16:R16" si="5">N12</f>
        <v>3645.5</v>
      </c>
      <c r="O16" s="76">
        <f t="shared" si="5"/>
        <v>3690.77</v>
      </c>
      <c r="P16" s="76">
        <f t="shared" si="5"/>
        <v>766.94309999999996</v>
      </c>
      <c r="Q16" s="73">
        <f t="shared" si="5"/>
        <v>0</v>
      </c>
      <c r="R16" s="74">
        <f t="shared" si="5"/>
        <v>8103.2131000000008</v>
      </c>
    </row>
    <row r="17" spans="1:23" ht="21" customHeight="1" x14ac:dyDescent="0.25">
      <c r="A17" s="42"/>
      <c r="B17" s="9"/>
      <c r="C17" s="44" t="s">
        <v>16</v>
      </c>
      <c r="D17" s="76">
        <f>D16</f>
        <v>377.99</v>
      </c>
      <c r="E17" s="76">
        <f>E16</f>
        <v>897.94</v>
      </c>
      <c r="F17" s="76">
        <f>F16</f>
        <v>145.53</v>
      </c>
      <c r="G17" s="73">
        <f>G16</f>
        <v>0</v>
      </c>
      <c r="H17" s="78">
        <f t="shared" ref="H17" si="6">D17+E17+F17</f>
        <v>1421.46</v>
      </c>
      <c r="I17" s="69"/>
      <c r="J17" s="70">
        <f>(N17+O17)/(D17+E17)</f>
        <v>5.7497433244770484</v>
      </c>
      <c r="K17" s="67"/>
      <c r="L17" s="70"/>
      <c r="M17" s="68"/>
      <c r="N17" s="76">
        <f>N16</f>
        <v>3645.5</v>
      </c>
      <c r="O17" s="76">
        <f>O16</f>
        <v>3690.77</v>
      </c>
      <c r="P17" s="76">
        <f>P16</f>
        <v>766.94309999999996</v>
      </c>
      <c r="Q17" s="73">
        <f>Q16</f>
        <v>0</v>
      </c>
      <c r="R17" s="78">
        <f t="shared" ref="R17" si="7">N17+O17+P17</f>
        <v>8103.2131000000008</v>
      </c>
    </row>
    <row r="18" spans="1:23" x14ac:dyDescent="0.25">
      <c r="A18" s="42"/>
      <c r="B18" s="9"/>
      <c r="C18" s="44" t="s">
        <v>17</v>
      </c>
      <c r="D18" s="67"/>
      <c r="E18" s="70"/>
      <c r="F18" s="70"/>
      <c r="G18" s="67"/>
      <c r="H18" s="68"/>
      <c r="I18" s="69"/>
      <c r="J18" s="70"/>
      <c r="K18" s="67"/>
      <c r="L18" s="70"/>
      <c r="M18" s="68"/>
      <c r="N18" s="69"/>
      <c r="O18" s="70"/>
      <c r="P18" s="70"/>
      <c r="Q18" s="67"/>
      <c r="R18" s="68"/>
    </row>
    <row r="19" spans="1:23" ht="40.5" customHeight="1" x14ac:dyDescent="0.25">
      <c r="A19" s="42">
        <v>2</v>
      </c>
      <c r="B19" s="27" t="s">
        <v>88</v>
      </c>
      <c r="C19" s="46" t="s">
        <v>89</v>
      </c>
      <c r="D19" s="84">
        <f>ROUND((D17*3.3%),2)</f>
        <v>12.47</v>
      </c>
      <c r="E19" s="70">
        <f>ROUND((E17*3.3%),2)</f>
        <v>29.63</v>
      </c>
      <c r="F19" s="70"/>
      <c r="G19" s="67"/>
      <c r="H19" s="68">
        <f>D19+E19</f>
        <v>42.1</v>
      </c>
      <c r="I19" s="69"/>
      <c r="J19" s="70">
        <f>J17</f>
        <v>5.7497433244770484</v>
      </c>
      <c r="K19" s="67"/>
      <c r="L19" s="70"/>
      <c r="M19" s="68"/>
      <c r="N19" s="70">
        <f>ROUND(D19*J19,2)</f>
        <v>71.7</v>
      </c>
      <c r="O19" s="70">
        <f>ROUND(E19*J19,2)</f>
        <v>170.36</v>
      </c>
      <c r="P19" s="70"/>
      <c r="Q19" s="67"/>
      <c r="R19" s="68">
        <f>N19+O19</f>
        <v>242.06</v>
      </c>
      <c r="S19" s="133"/>
      <c r="T19" s="134"/>
      <c r="U19" s="134"/>
      <c r="V19" s="134"/>
      <c r="W19" s="134"/>
    </row>
    <row r="20" spans="1:23" x14ac:dyDescent="0.25">
      <c r="A20" s="42"/>
      <c r="B20" s="9"/>
      <c r="C20" s="47" t="s">
        <v>11</v>
      </c>
      <c r="D20" s="67"/>
      <c r="E20" s="70"/>
      <c r="F20" s="70"/>
      <c r="G20" s="67"/>
      <c r="H20" s="68">
        <f>H19*15%</f>
        <v>6.3150000000000004</v>
      </c>
      <c r="I20" s="69"/>
      <c r="J20" s="70"/>
      <c r="K20" s="67"/>
      <c r="L20" s="70"/>
      <c r="M20" s="68"/>
      <c r="N20" s="69"/>
      <c r="O20" s="70"/>
      <c r="P20" s="70"/>
      <c r="Q20" s="67"/>
      <c r="R20" s="68">
        <f>R19*15%</f>
        <v>36.308999999999997</v>
      </c>
    </row>
    <row r="21" spans="1:23" ht="20.25" customHeight="1" x14ac:dyDescent="0.25">
      <c r="A21" s="42"/>
      <c r="B21" s="9"/>
      <c r="C21" s="44" t="s">
        <v>18</v>
      </c>
      <c r="D21" s="73">
        <f>D17+D19</f>
        <v>390.46000000000004</v>
      </c>
      <c r="E21" s="76">
        <f>E17+E19</f>
        <v>927.57</v>
      </c>
      <c r="F21" s="76">
        <f>F17</f>
        <v>145.53</v>
      </c>
      <c r="G21" s="73">
        <f>G17</f>
        <v>0</v>
      </c>
      <c r="H21" s="78">
        <f>D21+E21+F21</f>
        <v>1463.5600000000002</v>
      </c>
      <c r="I21" s="69"/>
      <c r="J21" s="70"/>
      <c r="K21" s="67"/>
      <c r="L21" s="70"/>
      <c r="M21" s="68"/>
      <c r="N21" s="75">
        <f>N17+N19</f>
        <v>3717.2</v>
      </c>
      <c r="O21" s="76">
        <f>O17+O19</f>
        <v>3861.13</v>
      </c>
      <c r="P21" s="76">
        <f>P17</f>
        <v>766.94309999999996</v>
      </c>
      <c r="Q21" s="73">
        <f>Q17</f>
        <v>0</v>
      </c>
      <c r="R21" s="78">
        <f>N21+O21+P21</f>
        <v>8345.2731000000003</v>
      </c>
    </row>
    <row r="22" spans="1:23" x14ac:dyDescent="0.25">
      <c r="A22" s="42"/>
      <c r="B22" s="9"/>
      <c r="C22" s="44" t="s">
        <v>19</v>
      </c>
      <c r="D22" s="82"/>
      <c r="E22" s="72"/>
      <c r="F22" s="72"/>
      <c r="G22" s="82"/>
      <c r="H22" s="83"/>
      <c r="I22" s="69"/>
      <c r="J22" s="70"/>
      <c r="K22" s="67"/>
      <c r="L22" s="70"/>
      <c r="M22" s="68"/>
      <c r="N22" s="71"/>
      <c r="O22" s="72"/>
      <c r="P22" s="72"/>
      <c r="Q22" s="82"/>
      <c r="R22" s="83"/>
    </row>
    <row r="23" spans="1:23" ht="25.5" x14ac:dyDescent="0.25">
      <c r="A23" s="42">
        <v>3</v>
      </c>
      <c r="B23" s="27" t="s">
        <v>90</v>
      </c>
      <c r="C23" s="43" t="str">
        <f>'ССР объединенная база и текущ'!C33</f>
        <v>Дополнительные затраты при производстве работ в зимнее время - 0,4% х 1 = 0,4%</v>
      </c>
      <c r="D23" s="84">
        <f>ROUND((D21*2.1%),2)</f>
        <v>8.1999999999999993</v>
      </c>
      <c r="E23" s="70">
        <f>ROUND((E21*2.1%),2)</f>
        <v>19.48</v>
      </c>
      <c r="F23" s="70"/>
      <c r="G23" s="67"/>
      <c r="H23" s="68">
        <f>D23+E23</f>
        <v>27.68</v>
      </c>
      <c r="I23" s="69"/>
      <c r="J23" s="70">
        <f>J17</f>
        <v>5.7497433244770484</v>
      </c>
      <c r="K23" s="67"/>
      <c r="L23" s="70"/>
      <c r="M23" s="68"/>
      <c r="N23" s="70">
        <f>ROUND(D23*J23,2)</f>
        <v>47.15</v>
      </c>
      <c r="O23" s="70">
        <f>ROUND(E23*J23,2)</f>
        <v>112</v>
      </c>
      <c r="P23" s="70"/>
      <c r="Q23" s="67"/>
      <c r="R23" s="68">
        <f>N23+O23</f>
        <v>159.15</v>
      </c>
      <c r="S23" s="133"/>
      <c r="T23" s="134"/>
      <c r="U23" s="134"/>
      <c r="V23" s="134"/>
      <c r="W23" s="134"/>
    </row>
    <row r="24" spans="1:23" ht="33.75" customHeight="1" x14ac:dyDescent="0.25">
      <c r="A24" s="42">
        <v>4</v>
      </c>
      <c r="B24" s="14" t="s">
        <v>81</v>
      </c>
      <c r="C24" s="43" t="s">
        <v>82</v>
      </c>
      <c r="D24" s="67"/>
      <c r="E24" s="70"/>
      <c r="F24" s="70"/>
      <c r="G24" s="67">
        <v>90.68</v>
      </c>
      <c r="H24" s="68">
        <f>G24</f>
        <v>90.68</v>
      </c>
      <c r="I24" s="69" t="s">
        <v>57</v>
      </c>
      <c r="J24" s="70"/>
      <c r="K24" s="67"/>
      <c r="L24" s="70">
        <v>18.14</v>
      </c>
      <c r="M24" s="68"/>
      <c r="N24" s="69"/>
      <c r="O24" s="70"/>
      <c r="P24" s="70"/>
      <c r="Q24" s="85">
        <f>G24*L24</f>
        <v>1644.9352000000001</v>
      </c>
      <c r="R24" s="86">
        <f>Q24</f>
        <v>1644.9352000000001</v>
      </c>
      <c r="S24" s="133"/>
      <c r="T24" s="134"/>
      <c r="U24" s="134"/>
      <c r="V24" s="134"/>
      <c r="W24" s="134"/>
    </row>
    <row r="25" spans="1:23" ht="21" customHeight="1" x14ac:dyDescent="0.25">
      <c r="A25" s="42"/>
      <c r="B25" s="9"/>
      <c r="C25" s="44" t="s">
        <v>20</v>
      </c>
      <c r="D25" s="73">
        <f>D23</f>
        <v>8.1999999999999993</v>
      </c>
      <c r="E25" s="76">
        <f>E23</f>
        <v>19.48</v>
      </c>
      <c r="F25" s="76">
        <f>F23</f>
        <v>0</v>
      </c>
      <c r="G25" s="73">
        <f>G24</f>
        <v>90.68</v>
      </c>
      <c r="H25" s="74">
        <f>H23+H24</f>
        <v>118.36000000000001</v>
      </c>
      <c r="I25" s="69"/>
      <c r="J25" s="70"/>
      <c r="K25" s="67"/>
      <c r="L25" s="70"/>
      <c r="M25" s="68"/>
      <c r="N25" s="75">
        <f>N23</f>
        <v>47.15</v>
      </c>
      <c r="O25" s="76">
        <f>O23</f>
        <v>112</v>
      </c>
      <c r="P25" s="76">
        <f>P23</f>
        <v>0</v>
      </c>
      <c r="Q25" s="73">
        <f>Q24</f>
        <v>1644.9352000000001</v>
      </c>
      <c r="R25" s="74">
        <f>R23+R24</f>
        <v>1804.0852000000002</v>
      </c>
      <c r="S25" s="133"/>
      <c r="T25" s="134"/>
      <c r="U25" s="134"/>
    </row>
    <row r="26" spans="1:23" ht="21" customHeight="1" x14ac:dyDescent="0.25">
      <c r="A26" s="42"/>
      <c r="B26" s="9"/>
      <c r="C26" s="44" t="s">
        <v>21</v>
      </c>
      <c r="D26" s="73">
        <f>D21+D25</f>
        <v>398.66</v>
      </c>
      <c r="E26" s="76">
        <f>E21+E25</f>
        <v>947.05000000000007</v>
      </c>
      <c r="F26" s="76">
        <f>F21</f>
        <v>145.53</v>
      </c>
      <c r="G26" s="73">
        <f>G25</f>
        <v>90.68</v>
      </c>
      <c r="H26" s="74">
        <f>D26+E26+F26+G26</f>
        <v>1581.92</v>
      </c>
      <c r="I26" s="69"/>
      <c r="J26" s="70"/>
      <c r="K26" s="67"/>
      <c r="L26" s="70"/>
      <c r="M26" s="68"/>
      <c r="N26" s="75">
        <f>N21+N25</f>
        <v>3764.35</v>
      </c>
      <c r="O26" s="76">
        <f>O21+O25</f>
        <v>3973.13</v>
      </c>
      <c r="P26" s="76">
        <f>P21</f>
        <v>766.94309999999996</v>
      </c>
      <c r="Q26" s="73">
        <f>Q25</f>
        <v>1644.9352000000001</v>
      </c>
      <c r="R26" s="74">
        <f>N26+O26+P26+Q26</f>
        <v>10149.3583</v>
      </c>
    </row>
    <row r="27" spans="1:23" x14ac:dyDescent="0.25">
      <c r="A27" s="42"/>
      <c r="B27" s="9"/>
      <c r="C27" s="44" t="s">
        <v>22</v>
      </c>
      <c r="D27" s="82"/>
      <c r="E27" s="72"/>
      <c r="F27" s="72"/>
      <c r="G27" s="82"/>
      <c r="H27" s="83"/>
      <c r="I27" s="69"/>
      <c r="J27" s="70"/>
      <c r="K27" s="67"/>
      <c r="L27" s="70"/>
      <c r="M27" s="68"/>
      <c r="N27" s="71"/>
      <c r="O27" s="72"/>
      <c r="P27" s="72"/>
      <c r="Q27" s="82"/>
      <c r="R27" s="83"/>
    </row>
    <row r="28" spans="1:23" ht="25.5" x14ac:dyDescent="0.25">
      <c r="A28" s="42">
        <v>5</v>
      </c>
      <c r="B28" s="27"/>
      <c r="C28" s="43" t="s">
        <v>65</v>
      </c>
      <c r="D28" s="67"/>
      <c r="E28" s="70"/>
      <c r="F28" s="70"/>
      <c r="G28" s="67">
        <f>ROUND(((H26+H35)*2.2%),2)</f>
        <v>40.24</v>
      </c>
      <c r="H28" s="68">
        <f>G28</f>
        <v>40.24</v>
      </c>
      <c r="I28" s="69" t="s">
        <v>57</v>
      </c>
      <c r="J28" s="70"/>
      <c r="K28" s="67"/>
      <c r="L28" s="70"/>
      <c r="M28" s="68">
        <v>7.58</v>
      </c>
      <c r="N28" s="69"/>
      <c r="O28" s="70"/>
      <c r="P28" s="70"/>
      <c r="Q28" s="67">
        <f>ROUND((G28*M28),2)</f>
        <v>305.02</v>
      </c>
      <c r="R28" s="68">
        <f>Q28</f>
        <v>305.02</v>
      </c>
    </row>
    <row r="29" spans="1:23" ht="20.25" customHeight="1" x14ac:dyDescent="0.25">
      <c r="A29" s="42"/>
      <c r="B29" s="9"/>
      <c r="C29" s="44" t="s">
        <v>23</v>
      </c>
      <c r="D29" s="73"/>
      <c r="E29" s="76"/>
      <c r="F29" s="76"/>
      <c r="G29" s="73">
        <f>G28</f>
        <v>40.24</v>
      </c>
      <c r="H29" s="74">
        <f>H28</f>
        <v>40.24</v>
      </c>
      <c r="I29" s="69"/>
      <c r="J29" s="70"/>
      <c r="K29" s="67"/>
      <c r="L29" s="70"/>
      <c r="M29" s="68"/>
      <c r="N29" s="75"/>
      <c r="O29" s="76"/>
      <c r="P29" s="76"/>
      <c r="Q29" s="73">
        <f>Q28</f>
        <v>305.02</v>
      </c>
      <c r="R29" s="74">
        <f>R28</f>
        <v>305.02</v>
      </c>
    </row>
    <row r="30" spans="1:23" ht="20.25" customHeight="1" x14ac:dyDescent="0.25">
      <c r="A30" s="42"/>
      <c r="B30" s="9"/>
      <c r="C30" s="44" t="s">
        <v>24</v>
      </c>
      <c r="D30" s="73">
        <f>D26</f>
        <v>398.66</v>
      </c>
      <c r="E30" s="76">
        <f>E26</f>
        <v>947.05000000000007</v>
      </c>
      <c r="F30" s="76">
        <f>F26</f>
        <v>145.53</v>
      </c>
      <c r="G30" s="73">
        <f>G26+G29</f>
        <v>130.92000000000002</v>
      </c>
      <c r="H30" s="74">
        <f>D30+E30+F30+G30</f>
        <v>1622.16</v>
      </c>
      <c r="I30" s="69"/>
      <c r="J30" s="70"/>
      <c r="K30" s="67"/>
      <c r="L30" s="70"/>
      <c r="M30" s="68"/>
      <c r="N30" s="75">
        <f>N26</f>
        <v>3764.35</v>
      </c>
      <c r="O30" s="76">
        <f>O26</f>
        <v>3973.13</v>
      </c>
      <c r="P30" s="76">
        <f>P26</f>
        <v>766.94309999999996</v>
      </c>
      <c r="Q30" s="73">
        <f>Q26+Q29</f>
        <v>1949.9552000000001</v>
      </c>
      <c r="R30" s="74">
        <f>N30+O30+P30+Q30</f>
        <v>10454.3783</v>
      </c>
    </row>
    <row r="31" spans="1:23" x14ac:dyDescent="0.25">
      <c r="A31" s="42"/>
      <c r="B31" s="9"/>
      <c r="C31" s="44" t="s">
        <v>25</v>
      </c>
      <c r="D31" s="82"/>
      <c r="E31" s="72"/>
      <c r="F31" s="72"/>
      <c r="G31" s="82"/>
      <c r="H31" s="83"/>
      <c r="I31" s="69"/>
      <c r="J31" s="70"/>
      <c r="K31" s="67"/>
      <c r="L31" s="70"/>
      <c r="M31" s="68"/>
      <c r="N31" s="71"/>
      <c r="O31" s="72"/>
      <c r="P31" s="72"/>
      <c r="Q31" s="82"/>
      <c r="R31" s="83"/>
    </row>
    <row r="32" spans="1:23" ht="29.25" customHeight="1" x14ac:dyDescent="0.25">
      <c r="A32" s="42">
        <v>6</v>
      </c>
      <c r="B32" s="18" t="s">
        <v>26</v>
      </c>
      <c r="C32" s="43" t="s">
        <v>93</v>
      </c>
      <c r="D32" s="82"/>
      <c r="E32" s="72"/>
      <c r="F32" s="72"/>
      <c r="G32" s="67">
        <f>ROUND(Q32/M32,2)</f>
        <v>109.89</v>
      </c>
      <c r="H32" s="68">
        <f>G32</f>
        <v>109.89</v>
      </c>
      <c r="I32" s="69"/>
      <c r="J32" s="70"/>
      <c r="K32" s="67"/>
      <c r="L32" s="70"/>
      <c r="M32" s="68">
        <f>4.55</f>
        <v>4.55</v>
      </c>
      <c r="N32" s="71"/>
      <c r="O32" s="72"/>
      <c r="P32" s="72"/>
      <c r="Q32" s="67">
        <v>500</v>
      </c>
      <c r="R32" s="68">
        <f>Q32</f>
        <v>500</v>
      </c>
    </row>
    <row r="33" spans="1:26" ht="29.25" customHeight="1" x14ac:dyDescent="0.25">
      <c r="A33" s="42">
        <v>7</v>
      </c>
      <c r="B33" s="18" t="s">
        <v>26</v>
      </c>
      <c r="C33" s="43" t="s">
        <v>94</v>
      </c>
      <c r="D33" s="82"/>
      <c r="E33" s="72"/>
      <c r="F33" s="72"/>
      <c r="G33" s="67">
        <f>ROUND(Q33/M33,2)</f>
        <v>134.22999999999999</v>
      </c>
      <c r="H33" s="68">
        <f>G33</f>
        <v>134.22999999999999</v>
      </c>
      <c r="I33" s="69"/>
      <c r="J33" s="70"/>
      <c r="K33" s="67"/>
      <c r="L33" s="70"/>
      <c r="M33" s="68">
        <f>4.47</f>
        <v>4.47</v>
      </c>
      <c r="N33" s="71"/>
      <c r="O33" s="72"/>
      <c r="P33" s="72"/>
      <c r="Q33" s="67">
        <v>600</v>
      </c>
      <c r="R33" s="68">
        <f>Q33</f>
        <v>600</v>
      </c>
    </row>
    <row r="34" spans="1:26" ht="21.75" customHeight="1" x14ac:dyDescent="0.25">
      <c r="A34" s="42">
        <v>8</v>
      </c>
      <c r="B34" s="27" t="s">
        <v>28</v>
      </c>
      <c r="C34" s="46" t="s">
        <v>40</v>
      </c>
      <c r="D34" s="82"/>
      <c r="E34" s="72"/>
      <c r="F34" s="72"/>
      <c r="G34" s="67">
        <f>ROUND((H26*0.2%),2)</f>
        <v>3.16</v>
      </c>
      <c r="H34" s="68">
        <f>G34</f>
        <v>3.16</v>
      </c>
      <c r="I34" s="69"/>
      <c r="J34" s="70"/>
      <c r="K34" s="67"/>
      <c r="L34" s="70"/>
      <c r="M34" s="68">
        <f>4.47</f>
        <v>4.47</v>
      </c>
      <c r="N34" s="71"/>
      <c r="O34" s="72"/>
      <c r="P34" s="72"/>
      <c r="Q34" s="67">
        <f>ROUND(G34*M34,2)</f>
        <v>14.13</v>
      </c>
      <c r="R34" s="68">
        <f>Q34</f>
        <v>14.13</v>
      </c>
      <c r="S34" s="133"/>
      <c r="T34" s="134"/>
      <c r="U34" s="134"/>
      <c r="V34" s="134"/>
      <c r="W34" s="134"/>
      <c r="X34" s="134"/>
      <c r="Y34" s="134"/>
      <c r="Z34" s="134"/>
    </row>
    <row r="35" spans="1:26" ht="21" customHeight="1" x14ac:dyDescent="0.25">
      <c r="A35" s="42"/>
      <c r="B35" s="9"/>
      <c r="C35" s="44" t="s">
        <v>29</v>
      </c>
      <c r="D35" s="73"/>
      <c r="E35" s="76"/>
      <c r="F35" s="76"/>
      <c r="G35" s="73">
        <f>SUM(G32:G34)</f>
        <v>247.28</v>
      </c>
      <c r="H35" s="74">
        <f>SUM(H32:H34)</f>
        <v>247.28</v>
      </c>
      <c r="I35" s="69"/>
      <c r="J35" s="70"/>
      <c r="K35" s="67"/>
      <c r="L35" s="70"/>
      <c r="M35" s="68"/>
      <c r="N35" s="75"/>
      <c r="O35" s="76"/>
      <c r="P35" s="76"/>
      <c r="Q35" s="73">
        <f>SUM(Q32:Q34)</f>
        <v>1114.1300000000001</v>
      </c>
      <c r="R35" s="74">
        <f>SUM(R32:R34)</f>
        <v>1114.1300000000001</v>
      </c>
    </row>
    <row r="36" spans="1:26" ht="21" customHeight="1" x14ac:dyDescent="0.25">
      <c r="A36" s="42"/>
      <c r="B36" s="9"/>
      <c r="C36" s="44" t="s">
        <v>30</v>
      </c>
      <c r="D36" s="73">
        <f>D30</f>
        <v>398.66</v>
      </c>
      <c r="E36" s="76">
        <f>E30</f>
        <v>947.05000000000007</v>
      </c>
      <c r="F36" s="76">
        <f>F30</f>
        <v>145.53</v>
      </c>
      <c r="G36" s="73">
        <f>G30+G35</f>
        <v>378.20000000000005</v>
      </c>
      <c r="H36" s="74">
        <f>D36+E36+F36+G36</f>
        <v>1869.44</v>
      </c>
      <c r="I36" s="69"/>
      <c r="J36" s="70"/>
      <c r="K36" s="67"/>
      <c r="L36" s="70"/>
      <c r="M36" s="68"/>
      <c r="N36" s="75">
        <f>N30</f>
        <v>3764.35</v>
      </c>
      <c r="O36" s="76">
        <f>O30</f>
        <v>3973.13</v>
      </c>
      <c r="P36" s="76">
        <f>P30</f>
        <v>766.94309999999996</v>
      </c>
      <c r="Q36" s="73">
        <f>Q30+Q35</f>
        <v>3064.0852000000004</v>
      </c>
      <c r="R36" s="74">
        <f>N36+O36+P36+Q36</f>
        <v>11568.508300000001</v>
      </c>
    </row>
    <row r="37" spans="1:26" ht="25.5" x14ac:dyDescent="0.25">
      <c r="A37" s="42">
        <v>9</v>
      </c>
      <c r="B37" s="27" t="s">
        <v>32</v>
      </c>
      <c r="C37" s="43" t="s">
        <v>31</v>
      </c>
      <c r="D37" s="84">
        <f>ROUND((D36*3%),2)</f>
        <v>11.96</v>
      </c>
      <c r="E37" s="70">
        <f>ROUND((E36*3%),2)</f>
        <v>28.41</v>
      </c>
      <c r="F37" s="70">
        <f>ROUND((F36*3%),2)</f>
        <v>4.37</v>
      </c>
      <c r="G37" s="67">
        <f>ROUND((G36*3%),2)</f>
        <v>11.35</v>
      </c>
      <c r="H37" s="68">
        <f>D37+E37+F37+G37</f>
        <v>56.09</v>
      </c>
      <c r="I37" s="69"/>
      <c r="J37" s="70"/>
      <c r="K37" s="67"/>
      <c r="L37" s="70"/>
      <c r="M37" s="68"/>
      <c r="N37" s="70">
        <f>ROUND((N36*3%),2)</f>
        <v>112.93</v>
      </c>
      <c r="O37" s="70">
        <f>ROUND((O36*3%),2)</f>
        <v>119.19</v>
      </c>
      <c r="P37" s="70">
        <f>ROUND((P36*3%),2)</f>
        <v>23.01</v>
      </c>
      <c r="Q37" s="67">
        <f>ROUND((Q36*3%),2)</f>
        <v>91.92</v>
      </c>
      <c r="R37" s="68">
        <f>N37+O37+P37+Q37</f>
        <v>347.05</v>
      </c>
    </row>
    <row r="38" spans="1:26" ht="26.25" customHeight="1" x14ac:dyDescent="0.25">
      <c r="A38" s="42"/>
      <c r="B38" s="9"/>
      <c r="C38" s="43" t="s">
        <v>51</v>
      </c>
      <c r="D38" s="73">
        <f>D36+D37</f>
        <v>410.62</v>
      </c>
      <c r="E38" s="76">
        <f>E36+E37</f>
        <v>975.46</v>
      </c>
      <c r="F38" s="76">
        <f>F36+F37</f>
        <v>149.9</v>
      </c>
      <c r="G38" s="73">
        <f>G36+G37</f>
        <v>389.55000000000007</v>
      </c>
      <c r="H38" s="74">
        <f>D38+E38+F38+G38</f>
        <v>1925.5300000000002</v>
      </c>
      <c r="I38" s="69"/>
      <c r="J38" s="70">
        <f>(N38+O38)/(D38+E38)</f>
        <v>5.749740274731618</v>
      </c>
      <c r="K38" s="67"/>
      <c r="L38" s="70"/>
      <c r="M38" s="68"/>
      <c r="N38" s="75">
        <f>N36+N37</f>
        <v>3877.2799999999997</v>
      </c>
      <c r="O38" s="76">
        <f>O36+O37</f>
        <v>4092.32</v>
      </c>
      <c r="P38" s="76">
        <f>P36+P37</f>
        <v>789.95309999999995</v>
      </c>
      <c r="Q38" s="73">
        <f>Q36+Q37</f>
        <v>3156.0052000000005</v>
      </c>
      <c r="R38" s="74">
        <f>N38+O38+P38+Q38</f>
        <v>11915.558300000001</v>
      </c>
    </row>
    <row r="39" spans="1:26" ht="15.75" thickBot="1" x14ac:dyDescent="0.3">
      <c r="A39" s="48"/>
      <c r="B39" s="49"/>
      <c r="C39" s="50" t="s">
        <v>38</v>
      </c>
      <c r="D39" s="87"/>
      <c r="E39" s="88"/>
      <c r="F39" s="88"/>
      <c r="G39" s="88"/>
      <c r="H39" s="89"/>
      <c r="I39" s="90"/>
      <c r="J39" s="88"/>
      <c r="K39" s="91"/>
      <c r="L39" s="88"/>
      <c r="M39" s="92"/>
      <c r="N39" s="93"/>
      <c r="O39" s="88"/>
      <c r="P39" s="88"/>
      <c r="Q39" s="88"/>
      <c r="R39" s="89"/>
    </row>
    <row r="43" spans="1:26" x14ac:dyDescent="0.25">
      <c r="B43" t="s">
        <v>53</v>
      </c>
      <c r="D43" s="105"/>
    </row>
  </sheetData>
  <mergeCells count="15">
    <mergeCell ref="A7:A8"/>
    <mergeCell ref="B7:B8"/>
    <mergeCell ref="C7:C8"/>
    <mergeCell ref="A4:R4"/>
    <mergeCell ref="A5:R5"/>
    <mergeCell ref="I7:M7"/>
    <mergeCell ref="S34:Z34"/>
    <mergeCell ref="N1:R1"/>
    <mergeCell ref="P2:R2"/>
    <mergeCell ref="S25:U25"/>
    <mergeCell ref="D7:H7"/>
    <mergeCell ref="N7:R7"/>
    <mergeCell ref="S24:W24"/>
    <mergeCell ref="S19:W19"/>
    <mergeCell ref="S23:W23"/>
  </mergeCells>
  <pageMargins left="0.39370078740157483" right="0.19685039370078741" top="0.55118110236220474" bottom="0.55118110236220474" header="0.31496062992125984" footer="0.31496062992125984"/>
  <pageSetup paperSize="9" scale="80" orientation="landscape" r:id="rId1"/>
  <headerFooter>
    <oddHeader>&amp;R&amp;8Страница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ССР объединенная база и текущ</vt:lpstr>
      <vt:lpstr>Вед.расч.тек.стоим.</vt:lpstr>
      <vt:lpstr>Вед.расч.тек.стоим.!Заголовки_для_печати</vt:lpstr>
      <vt:lpstr>'ССР объединенная база и текущ'!Заголовки_для_печати</vt:lpstr>
    </vt:vector>
  </TitlesOfParts>
  <Company>DKSS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skvorcov_v</dc:creator>
  <cp:lastModifiedBy>Windows User</cp:lastModifiedBy>
  <cp:lastPrinted>2018-05-21T06:21:47Z</cp:lastPrinted>
  <dcterms:created xsi:type="dcterms:W3CDTF">2016-11-30T13:21:40Z</dcterms:created>
  <dcterms:modified xsi:type="dcterms:W3CDTF">2021-02-25T13:19:59Z</dcterms:modified>
</cp:coreProperties>
</file>